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howInkAnnotation="0" codeName="DieseArbeitsmappe"/>
  <mc:AlternateContent xmlns:mc="http://schemas.openxmlformats.org/markup-compatibility/2006">
    <mc:Choice Requires="x15">
      <x15ac:absPath xmlns:x15ac="http://schemas.microsoft.com/office/spreadsheetml/2010/11/ac" url="M:\Biner Markus\FOWA\Projekte\2017\05_RestwertverlustTool\"/>
    </mc:Choice>
  </mc:AlternateContent>
  <xr:revisionPtr revIDLastSave="0" documentId="8_{3E82C6AD-4859-4CDE-9F66-6812052FC837}" xr6:coauthVersionLast="47" xr6:coauthVersionMax="47" xr10:uidLastSave="{00000000-0000-0000-0000-000000000000}"/>
  <bookViews>
    <workbookView xWindow="-120" yWindow="-120" windowWidth="29040" windowHeight="17640" xr2:uid="{00000000-000D-0000-FFFF-FFFF00000000}"/>
  </bookViews>
  <sheets>
    <sheet name="Entscheidungsbaum" sheetId="3" r:id="rId1"/>
    <sheet name="Texte" sheetId="11" state="hidden" r:id="rId2"/>
    <sheet name="Bild" sheetId="10" state="hidden" r:id="rId3"/>
    <sheet name="Schäden durch Baumassnahme" sheetId="4" state="hidden" r:id="rId4"/>
    <sheet name="Restwert" sheetId="5" state="hidden" r:id="rId5"/>
    <sheet name="Synergiegewinn" sheetId="9" state="hidden" r:id="rId6"/>
    <sheet name="Auswirkungen" sheetId="7" state="hidden" r:id="rId7"/>
    <sheet name="Weibul" sheetId="8" state="hidden" r:id="rId8"/>
  </sheets>
  <externalReferences>
    <externalReference r:id="rId9"/>
  </externalReferences>
  <definedNames>
    <definedName name="Durchmesser">Restwert!$A$19:$A$21</definedName>
    <definedName name="DurchPE">Restwert!$A$24</definedName>
    <definedName name="JaNein">'Schäden durch Baumassnahme'!$A$21:$A$22</definedName>
    <definedName name="Lagen">[1]Tabelle3!$A$1:$A$4</definedName>
    <definedName name="Mat">Weibul!$G$25:$G$28</definedName>
    <definedName name="MatA">Weibul!$B$25:$B$27</definedName>
    <definedName name="MatB">Weibul!$C$25:$C$27</definedName>
    <definedName name="MatC">Weibul!$D$25:$D$27</definedName>
    <definedName name="MatD">Weibul!$E$25:$E$28</definedName>
    <definedName name="MatE">Weibul!$F$25:$F$28</definedName>
    <definedName name="n">Weibul!$D$15</definedName>
    <definedName name="Name">INDIRECT("Bild!$A$"&amp;Entscheidungsbaum!$J$25)</definedName>
    <definedName name="Restwertbestimmung">Restwert!$B$11:$B$13</definedName>
    <definedName name="Schadensrate">Weibul!$B$32:$B$34</definedName>
    <definedName name="Synergiegewinn">Synergiegewinn!$B$10:$B$15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3" l="1"/>
  <c r="A46" i="3" s="1"/>
  <c r="B19" i="3"/>
  <c r="B54" i="3" l="1"/>
  <c r="A56" i="3"/>
  <c r="A23" i="3"/>
  <c r="B21" i="3"/>
  <c r="A24" i="3"/>
  <c r="A22" i="3"/>
  <c r="B32" i="3" l="1"/>
  <c r="B33" i="3" s="1"/>
  <c r="G23" i="3"/>
  <c r="J25" i="3" s="1"/>
  <c r="G58" i="3"/>
  <c r="B58" i="3"/>
  <c r="B18" i="3"/>
  <c r="D54" i="3" l="1"/>
  <c r="A16" i="3"/>
  <c r="B13" i="3"/>
  <c r="A14" i="3"/>
  <c r="G14" i="3" s="1"/>
  <c r="B11" i="3"/>
  <c r="B10" i="3" l="1"/>
  <c r="C9" i="8" l="1"/>
  <c r="D9" i="8" s="1"/>
  <c r="A28" i="3" l="1"/>
  <c r="A29" i="3"/>
  <c r="S2" i="8"/>
  <c r="R2" i="8"/>
  <c r="O2" i="8"/>
  <c r="Q2" i="8"/>
  <c r="P2" i="8"/>
  <c r="L2" i="8"/>
  <c r="I2" i="8"/>
  <c r="C10" i="8" l="1"/>
  <c r="E9" i="8"/>
  <c r="F9" i="8" s="1"/>
  <c r="F2" i="8"/>
  <c r="C2" i="8"/>
  <c r="G9" i="8" l="1"/>
  <c r="F10" i="8"/>
  <c r="H9" i="8" l="1"/>
  <c r="G10" i="8"/>
  <c r="A15" i="3"/>
  <c r="H10" i="8" l="1"/>
  <c r="I9" i="8"/>
  <c r="B30" i="3"/>
  <c r="A30" i="3" s="1"/>
  <c r="B29" i="3"/>
  <c r="B17" i="3"/>
  <c r="B31" i="3"/>
  <c r="I10" i="8" l="1"/>
  <c r="J9" i="8"/>
  <c r="B27" i="3"/>
  <c r="B28" i="3"/>
  <c r="B26" i="3"/>
  <c r="E26" i="3" s="1"/>
  <c r="K9" i="8" l="1"/>
  <c r="J10" i="8"/>
  <c r="E10" i="8"/>
  <c r="D10" i="8"/>
  <c r="T2" i="8"/>
  <c r="N2" i="8"/>
  <c r="M2" i="8"/>
  <c r="K2" i="8"/>
  <c r="J2" i="8"/>
  <c r="H2" i="8"/>
  <c r="G2" i="8"/>
  <c r="E2" i="8"/>
  <c r="D2" i="8"/>
  <c r="K10" i="8" l="1"/>
  <c r="L9" i="8"/>
  <c r="L10" i="8" l="1"/>
  <c r="D31" i="3" s="1"/>
  <c r="D32" i="3" s="1"/>
  <c r="M9" i="8"/>
  <c r="D33" i="3" l="1"/>
  <c r="A37" i="3"/>
  <c r="B35" i="3"/>
  <c r="N9" i="8"/>
  <c r="M10" i="8"/>
  <c r="O9" i="8" l="1"/>
  <c r="N10" i="8"/>
  <c r="P9" i="8" l="1"/>
  <c r="O10" i="8"/>
  <c r="P10" i="8" l="1"/>
  <c r="Q9" i="8"/>
  <c r="Q10" i="8" l="1"/>
  <c r="R9" i="8"/>
  <c r="S9" i="8" l="1"/>
  <c r="R10" i="8"/>
  <c r="S10" i="8" l="1"/>
  <c r="T9" i="8"/>
  <c r="T10" i="8" s="1"/>
  <c r="D43" i="3" l="1"/>
  <c r="D58" i="3" s="1"/>
  <c r="B45" i="3"/>
  <c r="A47" i="3" s="1"/>
  <c r="E31" i="3"/>
  <c r="A41" i="3" l="1"/>
  <c r="G43" i="3" s="1"/>
  <c r="E33" i="3"/>
  <c r="A36" i="3"/>
  <c r="G36" i="3" l="1"/>
  <c r="G48" i="3"/>
  <c r="B60" i="3"/>
  <c r="A19" i="9"/>
  <c r="A38" i="3"/>
  <c r="A62" i="3" l="1"/>
  <c r="A48" i="3"/>
  <c r="B53" i="3" s="1"/>
  <c r="B39" i="3"/>
  <c r="B50" i="3" l="1"/>
  <c r="B52" i="3"/>
  <c r="B51" i="3"/>
  <c r="B49" i="3"/>
</calcChain>
</file>

<file path=xl/sharedStrings.xml><?xml version="1.0" encoding="utf-8"?>
<sst xmlns="http://schemas.openxmlformats.org/spreadsheetml/2006/main" count="145" uniqueCount="88">
  <si>
    <t>Titel</t>
  </si>
  <si>
    <t>Text Standard</t>
  </si>
  <si>
    <t>Gibt es Schäden?</t>
  </si>
  <si>
    <t>Sind zwei oder mehr Schäden vorhanden?</t>
  </si>
  <si>
    <t>Erzeugt die Baumassnahme Dritter Schäden?</t>
  </si>
  <si>
    <t>Ja</t>
  </si>
  <si>
    <t>Werkstoff</t>
  </si>
  <si>
    <t>GGL 1.Gen</t>
  </si>
  <si>
    <t>GGL 2.Gen</t>
  </si>
  <si>
    <t>GGG 1.Gen</t>
  </si>
  <si>
    <t>GGG 2.Gen</t>
  </si>
  <si>
    <t>PE</t>
  </si>
  <si>
    <t>Von</t>
  </si>
  <si>
    <t>Bis</t>
  </si>
  <si>
    <t>DN</t>
  </si>
  <si>
    <t>T</t>
  </si>
  <si>
    <t>b</t>
  </si>
  <si>
    <t>Grenzschadensrate</t>
  </si>
  <si>
    <t>Nutzungsdauer</t>
  </si>
  <si>
    <t>Mat</t>
  </si>
  <si>
    <t>n</t>
  </si>
  <si>
    <t>Sind die Auswirkungen im Fall eines Schadens gross?</t>
  </si>
  <si>
    <t>Ist die Versorgung von einer wesentlichen Anzahl an Einwohnern gefährdet?</t>
  </si>
  <si>
    <t>Sind teure Folgeschäden zu befürchten?</t>
  </si>
  <si>
    <t>Ist der Verkehrsfluss gefährdet?</t>
  </si>
  <si>
    <t>Mitbauen oder Warten?</t>
  </si>
  <si>
    <t>Nein</t>
  </si>
  <si>
    <t>Ja/Nein</t>
  </si>
  <si>
    <t>Wie möchten Sie den Restwert der Leitung bestimmen?</t>
  </si>
  <si>
    <t>Bitte wählen Sie, wie Sie den Restwert bestimmen</t>
  </si>
  <si>
    <t>Restwertbestimmung</t>
  </si>
  <si>
    <t>Ich kenne die spezifische Nutzungsdauer und das Baujahr.</t>
  </si>
  <si>
    <t>Oberflächlicher Eingriff durch Strasse:</t>
  </si>
  <si>
    <t xml:space="preserve">Eingriff durch Gas ev. Strom im gleichen Leitungsgraben: </t>
  </si>
  <si>
    <t>Gesamterneuerung Strasse:</t>
  </si>
  <si>
    <t>Tiefer Eingriff durch Kanal:</t>
  </si>
  <si>
    <t>Gesamterneuerung Strasse und Werkleitungen (Kanalisation, Gas):</t>
  </si>
  <si>
    <t>Ich möchte einen eigenen Synergiegewinn eingeben</t>
  </si>
  <si>
    <t xml:space="preserve"> </t>
  </si>
  <si>
    <t>Bestimmung des Synergiegewinns</t>
  </si>
  <si>
    <t>Ermitteln Sie den möglichen Synergiegewinn!</t>
  </si>
  <si>
    <t>Frühere Schäden</t>
  </si>
  <si>
    <t>Schäden durch Baumassnahme</t>
  </si>
  <si>
    <t>Sind die möglichen Auswirkungen deutlich grösser als der absolute Restwert?</t>
  </si>
  <si>
    <t>Schadensrate</t>
  </si>
  <si>
    <t>Durchmesser</t>
  </si>
  <si>
    <t>&lt;150</t>
  </si>
  <si>
    <t>150-299</t>
  </si>
  <si>
    <t>&gt;=300</t>
  </si>
  <si>
    <t>GGG 3.Gen</t>
  </si>
  <si>
    <t>Stahl ungeschützt</t>
  </si>
  <si>
    <t>Stahl geschützt</t>
  </si>
  <si>
    <t>Mat&lt;1946</t>
  </si>
  <si>
    <t>Mat&lt;1966</t>
  </si>
  <si>
    <t>Mat&lt;1973</t>
  </si>
  <si>
    <t>Mat&lt;1981</t>
  </si>
  <si>
    <t>Mat&lt;1991</t>
  </si>
  <si>
    <t>MatA</t>
  </si>
  <si>
    <t>MatB</t>
  </si>
  <si>
    <t>MatC</t>
  </si>
  <si>
    <t>MatD</t>
  </si>
  <si>
    <t>MatE</t>
  </si>
  <si>
    <t>DurchPE</t>
  </si>
  <si>
    <t>0.1 (niedrig)</t>
  </si>
  <si>
    <t>0.2 (mittel)</t>
  </si>
  <si>
    <t>0.3 (hoch)</t>
  </si>
  <si>
    <t>Erwarten Sie einen Imageschaden?</t>
  </si>
  <si>
    <t>Ist mit grossen Erschütterungen oder Verdichtungen zu rechnen?</t>
  </si>
  <si>
    <t>Ist das Material der Leitung setzungsempfindlich?</t>
  </si>
  <si>
    <t>Schadensausmass</t>
  </si>
  <si>
    <t>Bild</t>
  </si>
  <si>
    <t>Eine Entscheidungshilfe für oder gegen gemeinsames Bauen</t>
  </si>
  <si>
    <t>Ist die Grabenwand in unmittelbarer Nähe (Abstand &lt; 1,5 m)?</t>
  </si>
  <si>
    <t>Sind schwerwiegende Personenschäden zu befürchten?</t>
  </si>
  <si>
    <t>Der Synergiegewinn beim gemeinsamen Bauen ist in den Gemeinden und je nach Baumassnahme sehr individuell. Daher muss der Synergiegewinn jeweils geschätzt werden. Der Synergiegewinn ist das, was ein Werk spart, wenn es Kosten mit einem anderen Werk teilt. Dabei können Synergiegewinne z. B. beim Aushub und Strassenbelag erzielt werden, nicht jedoch beim Leitungsbau, da dieser normalerweise nicht geteilt wird. Realistische Synergiegewinne liegen zwischen 5 % und 30 %. Mögliche Subventionen können zum Synergiegewinn addiert werden.</t>
  </si>
  <si>
    <t>Wenn im Perimeter der Baumassnahme bereits mehrere alterungsbedingte Schäden (Korrosion) auf dem gleichen Leitungsabschnitt in kurzem zeitlichen Abstand aufgetreten sind, bedeutet das meist, dass in Kürze weitere Schäden auftreten werden. Die Erfahrung zeigt, dass die Lebensdauer solch einer Leitung am Ende ist.</t>
  </si>
  <si>
    <t xml:space="preserve">Der Restwert einer Leitung wird bestimmt, indem linear über die Nutzungsdauer abgeschrieben wird (Beispiel s. Abb.). Die Nutzungsdauer kann auf 3 Arten bestimmt werden: - sie wird pragmatisch mit 80 Jahren angenommen, - sie ist aus gemeindeinternen Abschätzungen bekannt, - sie kann aus den Parametern b und T berechnet werden. (b und T sind tabellarisch hinterlegt und wurden aus gemittelten Werten verschiedener Schweizer Gemeinden ermittelt). In diesem Fall muss eine sogenannte </t>
  </si>
  <si>
    <t>Grenzschadensrate festgelegt werden. Diese beschreibt, wie viele Schäden pro km und Jahr zugelassen werden und ab wann die Gemeinde das Risiko von Schäden als zu hoch einschätzt. Eine niedrige Grenzschadensrate wäre 0.1 (bei grossen Durchmessern, wichtigen Leitungen und Leitungen mit grossem Schadenspotenzial), eine hohe Grenzschadensrate wäre 0.3 (bei kleinen Durchmessern, Nebenleitungen und Leitungen mit niedrigem Schadenspotenzial. 
Wichtig: das Baujahr der Leitung muss in jedem Fall bekannt sein!</t>
  </si>
  <si>
    <t>Zur Abschätzung des Schadensausmasses wird zunächst abgefragt, ob mit lebensgefährlichen Folgeschäden zu rechnen ist. Wenn das der Fall ist, sollte mitgebaut werden. Falls das nicht der Fall ist, werden verschiedene Schadensauswirkungen abgefragt. Jede Auswirkung, die mit Ja beantwortet wird, erhöht das Schadensausmass um 5 %.</t>
  </si>
  <si>
    <t>Projektbezeichnung:</t>
  </si>
  <si>
    <t>Leitungsabschnitt:</t>
  </si>
  <si>
    <t>Standort:</t>
  </si>
  <si>
    <t>Ausführungsjahr:</t>
  </si>
  <si>
    <t>Bei setzungsempfindlichen Materialien werden durch eine Grabenwand in unmittelbarer Nähe meistens Schäden induziert. Durch die neue Setzung entwickeln sich Spannungen und die Leitung geht während oder kurz nach den Bauarbeiten kaputt. 
Setzungsempfindliche Materialien sind z. B.: Grauguss mit Lamellengraphit (GGL, GJL), Stemm-Muffen-Stahl, Polyvinylchlorid (PVC), Faserzement (Eternit), Glasfaserverstärkte Kunststoffe (GFK). Nicht setzungsempfindlich sind z. B. Gusseisen mit Kugelgraphit (Sphäroguss, globularer Grauguss, GGG, GJS) und gestreckter oder verschweisster Stahl. 
Grosse Erschütterungen oder Verdichtungen können auftreten bei: Berstlining, Verdichtung des Oberbaus, Vortrieb, Ziehen von Spundwänden, Betonabbruch.</t>
  </si>
  <si>
    <t>Ich bestimme den Restwert über gemittelte Ausfallraten und kenne Baujahr, Material und Durchmesser.</t>
  </si>
  <si>
    <t>Ich kenne nur das Baujahr und bestimme den Restwert pragmatisch.</t>
  </si>
  <si>
    <t>Der (vorläufige) Restwertverlust wird berechnet, indem der Synergiegewinn vom Restwert abgezogen wird. Der Restwertverlust bezeichnet also das, was an Wert tatsächlich vernichtet würde. Wenn der Restwertverlust &lt; 5 % ist, sollte aus wirtschaftlichen Gründen mitgebaut werden.</t>
  </si>
  <si>
    <t>Für den Restwertverlust wird der vorläufige Restwertverlust um das Schadensausmass reduziert. Wenn die Differenz aus vorläufigem Restwertverlust - Schadensausmass kleiner ist als 0 % sollte mitgebaut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</si>
</sst>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0\ %"/>
  </numFmts>
  <fonts count="14" x14ac:knownFonts="1">
    <font>
      <sz val="9"/>
      <color theme="1"/>
      <name val="Arial"/>
      <family val="2"/>
    </font>
    <font>
      <sz val="12"/>
      <color theme="1"/>
      <name val="Arial"/>
      <family val="2"/>
    </font>
    <font>
      <sz val="9"/>
      <color theme="1"/>
      <name val="Arial"/>
      <family val="2"/>
    </font>
    <font>
      <sz val="9"/>
      <name val="Arial"/>
      <family val="2"/>
    </font>
    <font>
      <sz val="11"/>
      <color theme="1"/>
      <name val="Arial"/>
      <family val="2"/>
      <scheme val="minor"/>
    </font>
    <font>
      <sz val="9"/>
      <color theme="1"/>
      <name val="Arial"/>
      <family val="2"/>
      <scheme val="minor"/>
    </font>
    <font>
      <sz val="12"/>
      <name val="Arial"/>
      <family val="2"/>
    </font>
    <font>
      <sz val="8"/>
      <color theme="1"/>
      <name val="Arial"/>
      <family val="2"/>
    </font>
    <font>
      <b/>
      <sz val="8"/>
      <name val="Arial"/>
      <family val="2"/>
    </font>
    <font>
      <sz val="8"/>
      <name val="Arial"/>
      <family val="2"/>
    </font>
    <font>
      <b/>
      <sz val="8"/>
      <color theme="1"/>
      <name val="Arial"/>
      <family val="2"/>
    </font>
    <font>
      <sz val="8"/>
      <color theme="0"/>
      <name val="Arial"/>
      <family val="2"/>
    </font>
    <font>
      <sz val="9"/>
      <color rgb="FFFF0000"/>
      <name val="Arial"/>
      <family val="2"/>
    </font>
    <font>
      <sz val="9"/>
      <color rgb="FFFF0000"/>
      <name val="Arial"/>
      <family val="2"/>
      <scheme val="minor"/>
    </font>
  </fonts>
  <fills count="3">
    <fill>
      <patternFill patternType="none"/>
    </fill>
    <fill>
      <patternFill patternType="gray125"/>
    </fill>
    <fill>
      <patternFill patternType="solid">
        <fgColor theme="9"/>
        <bgColor indexed="64"/>
      </patternFill>
    </fill>
  </fills>
  <borders count="2">
    <border>
      <left/>
      <right/>
      <top/>
      <bottom/>
      <diagonal/>
    </border>
    <border>
      <left/>
      <right/>
      <top style="thin">
        <color indexed="64"/>
      </top>
      <bottom style="thin">
        <color indexed="64"/>
      </bottom>
      <diagonal/>
    </border>
  </borders>
  <cellStyleXfs count="6">
    <xf numFmtId="0" fontId="0" fillId="0" borderId="0"/>
    <xf numFmtId="0" fontId="1" fillId="0" borderId="0" applyNumberFormat="0"/>
    <xf numFmtId="9" fontId="2"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cellStyleXfs>
  <cellXfs count="46">
    <xf numFmtId="0" fontId="0" fillId="0" borderId="0" xfId="0"/>
    <xf numFmtId="0" fontId="1" fillId="0" borderId="0" xfId="0" applyFont="1"/>
    <xf numFmtId="0" fontId="0" fillId="0" borderId="0" xfId="0" applyAlignment="1">
      <alignment wrapText="1"/>
    </xf>
    <xf numFmtId="164" fontId="5" fillId="0" borderId="0" xfId="4" applyNumberFormat="1" applyFont="1"/>
    <xf numFmtId="0" fontId="5" fillId="0" borderId="0" xfId="3" applyFont="1"/>
    <xf numFmtId="9" fontId="0" fillId="0" borderId="0" xfId="0" applyNumberFormat="1"/>
    <xf numFmtId="0" fontId="6" fillId="0" borderId="0" xfId="0" applyFont="1"/>
    <xf numFmtId="0" fontId="3" fillId="0" borderId="0" xfId="0" applyFont="1"/>
    <xf numFmtId="0" fontId="8" fillId="0" borderId="0" xfId="0" applyFont="1"/>
    <xf numFmtId="0" fontId="7" fillId="0" borderId="0" xfId="0" applyFont="1"/>
    <xf numFmtId="0" fontId="9" fillId="0" borderId="1" xfId="0" applyFont="1" applyBorder="1"/>
    <xf numFmtId="0" fontId="7" fillId="0" borderId="1" xfId="0" applyFont="1" applyBorder="1"/>
    <xf numFmtId="0" fontId="7" fillId="0" borderId="1" xfId="0" applyFont="1" applyBorder="1" applyAlignment="1">
      <alignment horizontal="center"/>
    </xf>
    <xf numFmtId="0" fontId="9" fillId="0" borderId="0" xfId="0" applyFont="1"/>
    <xf numFmtId="0" fontId="7" fillId="0" borderId="0" xfId="0" applyFont="1" applyAlignment="1">
      <alignment horizontal="right" wrapText="1"/>
    </xf>
    <xf numFmtId="0" fontId="7" fillId="2" borderId="0" xfId="0" applyFont="1" applyFill="1" applyProtection="1">
      <protection locked="0"/>
    </xf>
    <xf numFmtId="0" fontId="7" fillId="0" borderId="0" xfId="0" applyFont="1" applyProtection="1">
      <protection locked="0"/>
    </xf>
    <xf numFmtId="0" fontId="7" fillId="0" borderId="0" xfId="0" applyFont="1" applyAlignment="1">
      <alignment wrapText="1"/>
    </xf>
    <xf numFmtId="0" fontId="11" fillId="0" borderId="0" xfId="0" applyFont="1"/>
    <xf numFmtId="0" fontId="7" fillId="0" borderId="0" xfId="0" applyFont="1" applyAlignment="1" applyProtection="1">
      <alignment horizontal="left"/>
      <protection locked="0"/>
    </xf>
    <xf numFmtId="1" fontId="7" fillId="0" borderId="0" xfId="0" applyNumberFormat="1" applyFont="1"/>
    <xf numFmtId="0" fontId="10" fillId="0" borderId="0" xfId="0" applyFont="1" applyAlignment="1">
      <alignment horizontal="right" wrapText="1"/>
    </xf>
    <xf numFmtId="9" fontId="10" fillId="0" borderId="0" xfId="2" applyFont="1" applyProtection="1"/>
    <xf numFmtId="1" fontId="10" fillId="0" borderId="0" xfId="2" applyNumberFormat="1" applyFont="1" applyProtection="1"/>
    <xf numFmtId="0" fontId="10" fillId="0" borderId="0" xfId="0" applyFont="1" applyAlignment="1">
      <alignment horizontal="left" wrapText="1"/>
    </xf>
    <xf numFmtId="9" fontId="7" fillId="0" borderId="0" xfId="0" applyNumberFormat="1" applyFont="1"/>
    <xf numFmtId="0" fontId="10" fillId="0" borderId="0" xfId="0" applyFont="1"/>
    <xf numFmtId="0" fontId="7" fillId="0" borderId="0" xfId="0" applyFont="1" applyAlignment="1">
      <alignment horizontal="center"/>
    </xf>
    <xf numFmtId="165" fontId="10" fillId="0" borderId="0" xfId="2" applyNumberFormat="1" applyFont="1" applyProtection="1"/>
    <xf numFmtId="165" fontId="10" fillId="0" borderId="0" xfId="2" applyNumberFormat="1" applyFont="1" applyProtection="1">
      <protection locked="0"/>
    </xf>
    <xf numFmtId="0" fontId="7" fillId="0" borderId="0" xfId="0" applyFont="1" applyAlignment="1">
      <alignment vertical="top" wrapText="1"/>
    </xf>
    <xf numFmtId="165" fontId="10" fillId="0" borderId="0" xfId="2" applyNumberFormat="1" applyFont="1" applyAlignment="1" applyProtection="1">
      <alignment horizontal="right"/>
    </xf>
    <xf numFmtId="0" fontId="7" fillId="0" borderId="0" xfId="0" applyFont="1" applyAlignment="1">
      <alignment horizontal="left" vertical="top" wrapText="1"/>
    </xf>
    <xf numFmtId="165" fontId="10" fillId="0" borderId="0" xfId="0" applyNumberFormat="1" applyFont="1" applyAlignment="1">
      <alignment horizontal="right"/>
    </xf>
    <xf numFmtId="0" fontId="0" fillId="2" borderId="0" xfId="0" applyFill="1" applyProtection="1">
      <protection locked="0"/>
    </xf>
    <xf numFmtId="0" fontId="12" fillId="0" borderId="0" xfId="0" applyFont="1"/>
    <xf numFmtId="0" fontId="13" fillId="0" borderId="0" xfId="3" applyFont="1"/>
    <xf numFmtId="0" fontId="7" fillId="0" borderId="0" xfId="0" applyFont="1" applyAlignment="1">
      <alignment horizontal="center" wrapText="1"/>
    </xf>
    <xf numFmtId="0" fontId="0" fillId="2" borderId="0" xfId="0" applyFill="1" applyAlignment="1" applyProtection="1">
      <alignment horizontal="left"/>
      <protection locked="0"/>
    </xf>
    <xf numFmtId="0" fontId="0" fillId="0" borderId="0" xfId="0" applyAlignment="1" applyProtection="1">
      <alignment horizontal="left"/>
      <protection locked="0"/>
    </xf>
    <xf numFmtId="0" fontId="7" fillId="0" borderId="0" xfId="0" applyFont="1" applyAlignment="1">
      <alignment horizontal="left" vertical="center" wrapText="1"/>
    </xf>
    <xf numFmtId="0" fontId="7" fillId="0" borderId="0" xfId="0" applyFont="1" applyAlignment="1">
      <alignment horizontal="left" vertical="top" wrapText="1"/>
    </xf>
    <xf numFmtId="0" fontId="10" fillId="0" borderId="0" xfId="0" applyFont="1" applyAlignment="1">
      <alignment horizontal="center" wrapText="1"/>
    </xf>
    <xf numFmtId="0" fontId="10" fillId="0" borderId="0" xfId="0" applyFont="1" applyAlignment="1">
      <alignment horizontal="center"/>
    </xf>
    <xf numFmtId="0" fontId="7" fillId="0" borderId="0" xfId="0" applyFont="1" applyAlignment="1" applyProtection="1">
      <alignment horizontal="left" wrapText="1"/>
      <protection locked="0"/>
    </xf>
    <xf numFmtId="0" fontId="7" fillId="0" borderId="0" xfId="0" applyFont="1" applyAlignment="1">
      <alignment horizontal="center"/>
    </xf>
  </cellXfs>
  <cellStyles count="6">
    <cellStyle name="Komma 2" xfId="4" xr:uid="{00000000-0005-0000-0000-000000000000}"/>
    <cellStyle name="Prozent" xfId="2" builtinId="5"/>
    <cellStyle name="Prozent 2" xfId="5" xr:uid="{00000000-0005-0000-0000-000002000000}"/>
    <cellStyle name="Standard" xfId="0" builtinId="0"/>
    <cellStyle name="Standard 2" xfId="3" xr:uid="{00000000-0005-0000-0000-000004000000}"/>
    <cellStyle name="Titel" xfId="1" xr:uid="{00000000-0005-0000-0000-000005000000}"/>
  </cellStyles>
  <dxfs count="44">
    <dxf>
      <font>
        <color rgb="FF9C0006"/>
      </font>
      <fill>
        <patternFill>
          <bgColor rgb="FFFFC7CE"/>
        </patternFill>
      </fill>
    </dxf>
    <dxf>
      <fill>
        <patternFill>
          <bgColor theme="9"/>
        </patternFill>
      </fill>
    </dxf>
    <dxf>
      <font>
        <color rgb="FF9C0006"/>
      </font>
      <fill>
        <patternFill>
          <bgColor rgb="FFFFC7CE"/>
        </patternFill>
      </fill>
    </dxf>
    <dxf>
      <fill>
        <patternFill>
          <bgColor rgb="FFF6D5B9"/>
        </patternFill>
      </fill>
    </dxf>
    <dxf>
      <fill>
        <patternFill>
          <bgColor rgb="FFE1EBF3"/>
        </patternFill>
      </fill>
    </dxf>
    <dxf>
      <fill>
        <patternFill>
          <bgColor rgb="FFE1EBF3"/>
        </patternFill>
      </fill>
    </dxf>
    <dxf>
      <fill>
        <patternFill>
          <bgColor rgb="FFE1EBF3"/>
        </patternFill>
      </fill>
    </dxf>
    <dxf>
      <fill>
        <patternFill>
          <bgColor rgb="FFE1EBF3"/>
        </patternFill>
      </fill>
    </dxf>
    <dxf>
      <fill>
        <patternFill>
          <bgColor rgb="FFE1EBF3"/>
        </patternFill>
      </fill>
    </dxf>
    <dxf>
      <fill>
        <patternFill>
          <bgColor rgb="FFF6D5B9"/>
        </patternFill>
      </fill>
    </dxf>
    <dxf>
      <fill>
        <patternFill>
          <bgColor rgb="FFFAE9DC"/>
        </patternFill>
      </fill>
    </dxf>
    <dxf>
      <fill>
        <patternFill>
          <bgColor rgb="FFFAE9DC"/>
        </patternFill>
      </fill>
    </dxf>
    <dxf>
      <fill>
        <patternFill>
          <bgColor rgb="FFFAE9DC"/>
        </patternFill>
      </fill>
    </dxf>
    <dxf>
      <fill>
        <patternFill>
          <bgColor rgb="FFEFF2E6"/>
        </patternFill>
      </fill>
    </dxf>
    <dxf>
      <fill>
        <patternFill>
          <bgColor rgb="FFE0E6CD"/>
        </patternFill>
      </fill>
    </dxf>
    <dxf>
      <fill>
        <patternFill>
          <bgColor rgb="FFEFF2E6"/>
        </patternFill>
      </fill>
    </dxf>
    <dxf>
      <fill>
        <patternFill>
          <bgColor rgb="FFA6C3DD"/>
        </patternFill>
      </fill>
    </dxf>
    <dxf>
      <fill>
        <patternFill>
          <bgColor rgb="FFC3D7E8"/>
        </patternFill>
      </fill>
    </dxf>
    <dxf>
      <fill>
        <patternFill>
          <bgColor rgb="FFF6D5B9"/>
        </patternFill>
      </fill>
    </dxf>
    <dxf>
      <fill>
        <patternFill>
          <bgColor rgb="FFFAE9DC"/>
        </patternFill>
      </fill>
    </dxf>
    <dxf>
      <fill>
        <patternFill>
          <bgColor theme="9"/>
        </patternFill>
      </fill>
    </dxf>
    <dxf>
      <fill>
        <patternFill>
          <bgColor theme="9"/>
        </patternFill>
      </fill>
    </dxf>
    <dxf>
      <fill>
        <patternFill>
          <bgColor theme="9"/>
        </patternFill>
      </fill>
    </dxf>
    <dxf>
      <fill>
        <patternFill>
          <bgColor rgb="FFE1EBF3"/>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border>
        <top style="thin">
          <color auto="1"/>
        </top>
        <bottom style="thin">
          <color auto="1"/>
        </bottom>
        <vertical/>
        <horizontal/>
      </border>
    </dxf>
    <dxf>
      <border>
        <top style="thin">
          <color auto="1"/>
        </top>
        <bottom style="thin">
          <color auto="1"/>
        </bottom>
        <vertical/>
        <horizontal/>
      </border>
    </dxf>
    <dxf>
      <border>
        <top style="thin">
          <color auto="1"/>
        </top>
        <bottom style="thin">
          <color auto="1"/>
        </bottom>
        <vertical/>
        <horizontal/>
      </border>
    </dxf>
    <dxf>
      <fill>
        <patternFill>
          <bgColor theme="9"/>
        </patternFill>
      </fill>
    </dxf>
    <dxf>
      <border>
        <top style="thin">
          <color auto="1"/>
        </top>
        <bottom style="thin">
          <color auto="1"/>
        </bottom>
        <vertical/>
        <horizontal/>
      </border>
    </dxf>
    <dxf>
      <border>
        <top style="thin">
          <color auto="1"/>
        </top>
        <bottom style="thin">
          <color auto="1"/>
        </bottom>
      </border>
    </dxf>
    <dxf>
      <font>
        <b/>
        <i val="0"/>
        <color theme="8" tint="-0.499984740745262"/>
      </font>
      <fill>
        <patternFill>
          <bgColor theme="8"/>
        </patternFill>
      </fill>
    </dxf>
    <dxf>
      <font>
        <b/>
        <i val="0"/>
        <color theme="5" tint="-0.499984740745262"/>
      </font>
      <fill>
        <patternFill>
          <bgColor theme="5" tint="0.39994506668294322"/>
        </patternFill>
      </fill>
    </dxf>
    <dxf>
      <font>
        <b/>
        <i val="0"/>
        <color theme="8" tint="-0.499984740745262"/>
      </font>
      <fill>
        <patternFill>
          <bgColor theme="8"/>
        </patternFill>
      </fill>
    </dxf>
    <dxf>
      <font>
        <b/>
        <i val="0"/>
        <color theme="8" tint="-0.499984740745262"/>
      </font>
      <fill>
        <patternFill patternType="solid">
          <bgColor theme="8"/>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2" defaultPivotStyle="PivotStyleLight16"/>
  <colors>
    <mruColors>
      <color rgb="FF76557A"/>
      <color rgb="FFF6D5B9"/>
      <color rgb="FFE1EBF3"/>
      <color rgb="FFFFFFFF"/>
      <color rgb="FFFAE9DC"/>
      <color rgb="FFEFF2E6"/>
      <color rgb="FFA6C3DD"/>
      <color rgb="FF3399FF"/>
      <color rgb="FFE0E6CD"/>
      <color rgb="FFC3D7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898264059796315"/>
          <c:y val="5.4189997083697872E-2"/>
          <c:w val="0.52163297959177957"/>
          <c:h val="0.76081729367162443"/>
        </c:manualLayout>
      </c:layout>
      <c:scatterChart>
        <c:scatterStyle val="lineMarker"/>
        <c:varyColors val="0"/>
        <c:ser>
          <c:idx val="0"/>
          <c:order val="0"/>
          <c:marker>
            <c:symbol val="none"/>
          </c:marker>
          <c:xVal>
            <c:numRef>
              <c:f>Weibul!#REF!</c:f>
            </c:numRef>
          </c:xVal>
          <c:yVal>
            <c:numRef>
              <c:f>Weibul!#REF!</c:f>
              <c:numCache>
                <c:formatCode>General</c:formatCode>
                <c:ptCount val="1"/>
                <c:pt idx="0">
                  <c:v>1</c:v>
                </c:pt>
              </c:numCache>
            </c:numRef>
          </c:yVal>
          <c:smooth val="0"/>
          <c:extLst>
            <c:ext xmlns:c15="http://schemas.microsoft.com/office/drawing/2012/chart" uri="{02D57815-91ED-43cb-92C2-25804820EDAC}">
              <c15:filteredSeriesTitle>
                <c15:tx>
                  <c:strRef>
                    <c:extLst>
                      <c:ext uri="{02D57815-91ED-43cb-92C2-25804820EDAC}">
                        <c15:formulaRef>
                          <c15:sqref>Weibul!#REF!</c15:sqref>
                        </c15:formulaRef>
                      </c:ext>
                    </c:extLst>
                    <c:strCache>
                      <c:ptCount val="1"/>
                      <c:pt idx="0">
                        <c:v>#REF!</c:v>
                      </c:pt>
                    </c:strCache>
                  </c:strRef>
                </c15:tx>
              </c15:filteredSeriesTitle>
            </c:ext>
            <c:ext xmlns:c16="http://schemas.microsoft.com/office/drawing/2014/chart" uri="{C3380CC4-5D6E-409C-BE32-E72D297353CC}">
              <c16:uniqueId val="{00000000-728B-4A08-93C6-1CEE88C3F555}"/>
            </c:ext>
          </c:extLst>
        </c:ser>
        <c:ser>
          <c:idx val="1"/>
          <c:order val="1"/>
          <c:marker>
            <c:symbol val="none"/>
          </c:marker>
          <c:xVal>
            <c:numRef>
              <c:f>Weibul!#REF!</c:f>
            </c:numRef>
          </c:xVal>
          <c:yVal>
            <c:numRef>
              <c:f>Weibul!#REF!</c:f>
              <c:numCache>
                <c:formatCode>General</c:formatCode>
                <c:ptCount val="1"/>
                <c:pt idx="0">
                  <c:v>1</c:v>
                </c:pt>
              </c:numCache>
            </c:numRef>
          </c:yVal>
          <c:smooth val="0"/>
          <c:extLst>
            <c:ext xmlns:c15="http://schemas.microsoft.com/office/drawing/2012/chart" uri="{02D57815-91ED-43cb-92C2-25804820EDAC}">
              <c15:filteredSeriesTitle>
                <c15:tx>
                  <c:strRef>
                    <c:extLst>
                      <c:ext uri="{02D57815-91ED-43cb-92C2-25804820EDAC}">
                        <c15:formulaRef>
                          <c15:sqref>Weibul!#REF!</c15:sqref>
                        </c15:formulaRef>
                      </c:ext>
                    </c:extLst>
                    <c:strCache>
                      <c:ptCount val="1"/>
                      <c:pt idx="0">
                        <c:v>#REF!</c:v>
                      </c:pt>
                    </c:strCache>
                  </c:strRef>
                </c15:tx>
              </c15:filteredSeriesTitle>
            </c:ext>
            <c:ext xmlns:c16="http://schemas.microsoft.com/office/drawing/2014/chart" uri="{C3380CC4-5D6E-409C-BE32-E72D297353CC}">
              <c16:uniqueId val="{00000001-728B-4A08-93C6-1CEE88C3F555}"/>
            </c:ext>
          </c:extLst>
        </c:ser>
        <c:ser>
          <c:idx val="2"/>
          <c:order val="2"/>
          <c:marker>
            <c:symbol val="none"/>
          </c:marker>
          <c:xVal>
            <c:numRef>
              <c:f>Weibul!#REF!</c:f>
            </c:numRef>
          </c:xVal>
          <c:yVal>
            <c:numRef>
              <c:f>Weibul!#REF!</c:f>
              <c:numCache>
                <c:formatCode>General</c:formatCode>
                <c:ptCount val="1"/>
                <c:pt idx="0">
                  <c:v>1</c:v>
                </c:pt>
              </c:numCache>
            </c:numRef>
          </c:yVal>
          <c:smooth val="0"/>
          <c:extLst>
            <c:ext xmlns:c15="http://schemas.microsoft.com/office/drawing/2012/chart" uri="{02D57815-91ED-43cb-92C2-25804820EDAC}">
              <c15:filteredSeriesTitle>
                <c15:tx>
                  <c:strRef>
                    <c:extLst>
                      <c:ext uri="{02D57815-91ED-43cb-92C2-25804820EDAC}">
                        <c15:formulaRef>
                          <c15:sqref>Weibul!#REF!</c15:sqref>
                        </c15:formulaRef>
                      </c:ext>
                    </c:extLst>
                    <c:strCache>
                      <c:ptCount val="1"/>
                      <c:pt idx="0">
                        <c:v>#REF!</c:v>
                      </c:pt>
                    </c:strCache>
                  </c:strRef>
                </c15:tx>
              </c15:filteredSeriesTitle>
            </c:ext>
            <c:ext xmlns:c16="http://schemas.microsoft.com/office/drawing/2014/chart" uri="{C3380CC4-5D6E-409C-BE32-E72D297353CC}">
              <c16:uniqueId val="{00000002-728B-4A08-93C6-1CEE88C3F555}"/>
            </c:ext>
          </c:extLst>
        </c:ser>
        <c:ser>
          <c:idx val="3"/>
          <c:order val="3"/>
          <c:marker>
            <c:symbol val="none"/>
          </c:marker>
          <c:xVal>
            <c:numRef>
              <c:f>Weibul!#REF!</c:f>
            </c:numRef>
          </c:xVal>
          <c:yVal>
            <c:numRef>
              <c:f>Weibul!#REF!</c:f>
              <c:numCache>
                <c:formatCode>General</c:formatCode>
                <c:ptCount val="1"/>
                <c:pt idx="0">
                  <c:v>1</c:v>
                </c:pt>
              </c:numCache>
            </c:numRef>
          </c:yVal>
          <c:smooth val="0"/>
          <c:extLst>
            <c:ext xmlns:c15="http://schemas.microsoft.com/office/drawing/2012/chart" uri="{02D57815-91ED-43cb-92C2-25804820EDAC}">
              <c15:filteredSeriesTitle>
                <c15:tx>
                  <c:strRef>
                    <c:extLst>
                      <c:ext uri="{02D57815-91ED-43cb-92C2-25804820EDAC}">
                        <c15:formulaRef>
                          <c15:sqref>Weibul!#REF!</c15:sqref>
                        </c15:formulaRef>
                      </c:ext>
                    </c:extLst>
                    <c:strCache>
                      <c:ptCount val="1"/>
                      <c:pt idx="0">
                        <c:v>#REF!</c:v>
                      </c:pt>
                    </c:strCache>
                  </c:strRef>
                </c15:tx>
              </c15:filteredSeriesTitle>
            </c:ext>
            <c:ext xmlns:c16="http://schemas.microsoft.com/office/drawing/2014/chart" uri="{C3380CC4-5D6E-409C-BE32-E72D297353CC}">
              <c16:uniqueId val="{00000003-728B-4A08-93C6-1CEE88C3F555}"/>
            </c:ext>
          </c:extLst>
        </c:ser>
        <c:ser>
          <c:idx val="4"/>
          <c:order val="4"/>
          <c:marker>
            <c:symbol val="none"/>
          </c:marker>
          <c:xVal>
            <c:numRef>
              <c:f>Weibul!#REF!</c:f>
            </c:numRef>
          </c:xVal>
          <c:yVal>
            <c:numRef>
              <c:f>Weibul!#REF!</c:f>
              <c:numCache>
                <c:formatCode>General</c:formatCode>
                <c:ptCount val="1"/>
                <c:pt idx="0">
                  <c:v>1</c:v>
                </c:pt>
              </c:numCache>
            </c:numRef>
          </c:yVal>
          <c:smooth val="0"/>
          <c:extLst>
            <c:ext xmlns:c15="http://schemas.microsoft.com/office/drawing/2012/chart" uri="{02D57815-91ED-43cb-92C2-25804820EDAC}">
              <c15:filteredSeriesTitle>
                <c15:tx>
                  <c:strRef>
                    <c:extLst>
                      <c:ext uri="{02D57815-91ED-43cb-92C2-25804820EDAC}">
                        <c15:formulaRef>
                          <c15:sqref>Weibul!#REF!</c15:sqref>
                        </c15:formulaRef>
                      </c:ext>
                    </c:extLst>
                    <c:strCache>
                      <c:ptCount val="1"/>
                      <c:pt idx="0">
                        <c:v>#REF!</c:v>
                      </c:pt>
                    </c:strCache>
                  </c:strRef>
                </c15:tx>
              </c15:filteredSeriesTitle>
            </c:ext>
            <c:ext xmlns:c16="http://schemas.microsoft.com/office/drawing/2014/chart" uri="{C3380CC4-5D6E-409C-BE32-E72D297353CC}">
              <c16:uniqueId val="{00000004-728B-4A08-93C6-1CEE88C3F555}"/>
            </c:ext>
          </c:extLst>
        </c:ser>
        <c:ser>
          <c:idx val="5"/>
          <c:order val="5"/>
          <c:marker>
            <c:symbol val="none"/>
          </c:marker>
          <c:xVal>
            <c:numRef>
              <c:f>Weibul!#REF!</c:f>
            </c:numRef>
          </c:xVal>
          <c:yVal>
            <c:numRef>
              <c:f>Weibul!#REF!</c:f>
              <c:numCache>
                <c:formatCode>General</c:formatCode>
                <c:ptCount val="1"/>
                <c:pt idx="0">
                  <c:v>1</c:v>
                </c:pt>
              </c:numCache>
            </c:numRef>
          </c:yVal>
          <c:smooth val="0"/>
          <c:extLst>
            <c:ext xmlns:c15="http://schemas.microsoft.com/office/drawing/2012/chart" uri="{02D57815-91ED-43cb-92C2-25804820EDAC}">
              <c15:filteredSeriesTitle>
                <c15:tx>
                  <c:strRef>
                    <c:extLst>
                      <c:ext uri="{02D57815-91ED-43cb-92C2-25804820EDAC}">
                        <c15:formulaRef>
                          <c15:sqref>Weibul!#REF!</c15:sqref>
                        </c15:formulaRef>
                      </c:ext>
                    </c:extLst>
                    <c:strCache>
                      <c:ptCount val="1"/>
                      <c:pt idx="0">
                        <c:v>#REF!</c:v>
                      </c:pt>
                    </c:strCache>
                  </c:strRef>
                </c15:tx>
              </c15:filteredSeriesTitle>
            </c:ext>
            <c:ext xmlns:c16="http://schemas.microsoft.com/office/drawing/2014/chart" uri="{C3380CC4-5D6E-409C-BE32-E72D297353CC}">
              <c16:uniqueId val="{00000005-728B-4A08-93C6-1CEE88C3F555}"/>
            </c:ext>
          </c:extLst>
        </c:ser>
        <c:ser>
          <c:idx val="6"/>
          <c:order val="6"/>
          <c:marker>
            <c:symbol val="none"/>
          </c:marker>
          <c:xVal>
            <c:numRef>
              <c:f>Weibul!#REF!</c:f>
            </c:numRef>
          </c:xVal>
          <c:yVal>
            <c:numRef>
              <c:f>Weibul!#REF!</c:f>
              <c:numCache>
                <c:formatCode>General</c:formatCode>
                <c:ptCount val="1"/>
                <c:pt idx="0">
                  <c:v>1</c:v>
                </c:pt>
              </c:numCache>
            </c:numRef>
          </c:yVal>
          <c:smooth val="0"/>
          <c:extLst>
            <c:ext xmlns:c15="http://schemas.microsoft.com/office/drawing/2012/chart" uri="{02D57815-91ED-43cb-92C2-25804820EDAC}">
              <c15:filteredSeriesTitle>
                <c15:tx>
                  <c:strRef>
                    <c:extLst>
                      <c:ext uri="{02D57815-91ED-43cb-92C2-25804820EDAC}">
                        <c15:formulaRef>
                          <c15:sqref>Weibul!#REF!</c15:sqref>
                        </c15:formulaRef>
                      </c:ext>
                    </c:extLst>
                    <c:strCache>
                      <c:ptCount val="1"/>
                      <c:pt idx="0">
                        <c:v>#REF!</c:v>
                      </c:pt>
                    </c:strCache>
                  </c:strRef>
                </c15:tx>
              </c15:filteredSeriesTitle>
            </c:ext>
            <c:ext xmlns:c16="http://schemas.microsoft.com/office/drawing/2014/chart" uri="{C3380CC4-5D6E-409C-BE32-E72D297353CC}">
              <c16:uniqueId val="{00000006-728B-4A08-93C6-1CEE88C3F555}"/>
            </c:ext>
          </c:extLst>
        </c:ser>
        <c:ser>
          <c:idx val="7"/>
          <c:order val="7"/>
          <c:marker>
            <c:symbol val="none"/>
          </c:marker>
          <c:xVal>
            <c:numRef>
              <c:f>Weibul!#REF!</c:f>
            </c:numRef>
          </c:xVal>
          <c:yVal>
            <c:numRef>
              <c:f>Weibul!#REF!</c:f>
              <c:numCache>
                <c:formatCode>General</c:formatCode>
                <c:ptCount val="1"/>
                <c:pt idx="0">
                  <c:v>1</c:v>
                </c:pt>
              </c:numCache>
            </c:numRef>
          </c:yVal>
          <c:smooth val="0"/>
          <c:extLst>
            <c:ext xmlns:c15="http://schemas.microsoft.com/office/drawing/2012/chart" uri="{02D57815-91ED-43cb-92C2-25804820EDAC}">
              <c15:filteredSeriesTitle>
                <c15:tx>
                  <c:strRef>
                    <c:extLst>
                      <c:ext uri="{02D57815-91ED-43cb-92C2-25804820EDAC}">
                        <c15:formulaRef>
                          <c15:sqref>Weibul!#REF!</c15:sqref>
                        </c15:formulaRef>
                      </c:ext>
                    </c:extLst>
                    <c:strCache>
                      <c:ptCount val="1"/>
                      <c:pt idx="0">
                        <c:v>#REF!</c:v>
                      </c:pt>
                    </c:strCache>
                  </c:strRef>
                </c15:tx>
              </c15:filteredSeriesTitle>
            </c:ext>
            <c:ext xmlns:c16="http://schemas.microsoft.com/office/drawing/2014/chart" uri="{C3380CC4-5D6E-409C-BE32-E72D297353CC}">
              <c16:uniqueId val="{00000007-728B-4A08-93C6-1CEE88C3F555}"/>
            </c:ext>
          </c:extLst>
        </c:ser>
        <c:ser>
          <c:idx val="8"/>
          <c:order val="8"/>
          <c:marker>
            <c:symbol val="none"/>
          </c:marker>
          <c:xVal>
            <c:numRef>
              <c:f>Weibul!#REF!</c:f>
            </c:numRef>
          </c:xVal>
          <c:yVal>
            <c:numRef>
              <c:f>Weibul!#REF!</c:f>
              <c:numCache>
                <c:formatCode>General</c:formatCode>
                <c:ptCount val="1"/>
                <c:pt idx="0">
                  <c:v>1</c:v>
                </c:pt>
              </c:numCache>
            </c:numRef>
          </c:yVal>
          <c:smooth val="0"/>
          <c:extLst>
            <c:ext xmlns:c15="http://schemas.microsoft.com/office/drawing/2012/chart" uri="{02D57815-91ED-43cb-92C2-25804820EDAC}">
              <c15:filteredSeriesTitle>
                <c15:tx>
                  <c:strRef>
                    <c:extLst>
                      <c:ext uri="{02D57815-91ED-43cb-92C2-25804820EDAC}">
                        <c15:formulaRef>
                          <c15:sqref>Weibul!#REF!</c15:sqref>
                        </c15:formulaRef>
                      </c:ext>
                    </c:extLst>
                    <c:strCache>
                      <c:ptCount val="1"/>
                      <c:pt idx="0">
                        <c:v>#REF!</c:v>
                      </c:pt>
                    </c:strCache>
                  </c:strRef>
                </c15:tx>
              </c15:filteredSeriesTitle>
            </c:ext>
            <c:ext xmlns:c16="http://schemas.microsoft.com/office/drawing/2014/chart" uri="{C3380CC4-5D6E-409C-BE32-E72D297353CC}">
              <c16:uniqueId val="{00000008-728B-4A08-93C6-1CEE88C3F555}"/>
            </c:ext>
          </c:extLst>
        </c:ser>
        <c:ser>
          <c:idx val="9"/>
          <c:order val="9"/>
          <c:marker>
            <c:symbol val="none"/>
          </c:marker>
          <c:xVal>
            <c:numRef>
              <c:f>Weibul!#REF!</c:f>
            </c:numRef>
          </c:xVal>
          <c:yVal>
            <c:numRef>
              <c:f>Weibul!#REF!</c:f>
              <c:numCache>
                <c:formatCode>General</c:formatCode>
                <c:ptCount val="1"/>
                <c:pt idx="0">
                  <c:v>1</c:v>
                </c:pt>
              </c:numCache>
            </c:numRef>
          </c:yVal>
          <c:smooth val="0"/>
          <c:extLst>
            <c:ext xmlns:c15="http://schemas.microsoft.com/office/drawing/2012/chart" uri="{02D57815-91ED-43cb-92C2-25804820EDAC}">
              <c15:filteredSeriesTitle>
                <c15:tx>
                  <c:strRef>
                    <c:extLst>
                      <c:ext uri="{02D57815-91ED-43cb-92C2-25804820EDAC}">
                        <c15:formulaRef>
                          <c15:sqref>Weibul!#REF!</c15:sqref>
                        </c15:formulaRef>
                      </c:ext>
                    </c:extLst>
                    <c:strCache>
                      <c:ptCount val="1"/>
                      <c:pt idx="0">
                        <c:v>#REF!</c:v>
                      </c:pt>
                    </c:strCache>
                  </c:strRef>
                </c15:tx>
              </c15:filteredSeriesTitle>
            </c:ext>
            <c:ext xmlns:c16="http://schemas.microsoft.com/office/drawing/2014/chart" uri="{C3380CC4-5D6E-409C-BE32-E72D297353CC}">
              <c16:uniqueId val="{00000009-728B-4A08-93C6-1CEE88C3F555}"/>
            </c:ext>
          </c:extLst>
        </c:ser>
        <c:ser>
          <c:idx val="10"/>
          <c:order val="10"/>
          <c:marker>
            <c:symbol val="none"/>
          </c:marker>
          <c:xVal>
            <c:numRef>
              <c:f>Weibul!#REF!</c:f>
            </c:numRef>
          </c:xVal>
          <c:yVal>
            <c:numRef>
              <c:f>Weibul!#REF!</c:f>
              <c:numCache>
                <c:formatCode>General</c:formatCode>
                <c:ptCount val="1"/>
                <c:pt idx="0">
                  <c:v>1</c:v>
                </c:pt>
              </c:numCache>
            </c:numRef>
          </c:yVal>
          <c:smooth val="0"/>
          <c:extLst>
            <c:ext xmlns:c15="http://schemas.microsoft.com/office/drawing/2012/chart" uri="{02D57815-91ED-43cb-92C2-25804820EDAC}">
              <c15:filteredSeriesTitle>
                <c15:tx>
                  <c:strRef>
                    <c:extLst>
                      <c:ext uri="{02D57815-91ED-43cb-92C2-25804820EDAC}">
                        <c15:formulaRef>
                          <c15:sqref>Weibul!#REF!</c15:sqref>
                        </c15:formulaRef>
                      </c:ext>
                    </c:extLst>
                    <c:strCache>
                      <c:ptCount val="1"/>
                      <c:pt idx="0">
                        <c:v>#REF!</c:v>
                      </c:pt>
                    </c:strCache>
                  </c:strRef>
                </c15:tx>
              </c15:filteredSeriesTitle>
            </c:ext>
            <c:ext xmlns:c16="http://schemas.microsoft.com/office/drawing/2014/chart" uri="{C3380CC4-5D6E-409C-BE32-E72D297353CC}">
              <c16:uniqueId val="{0000000A-728B-4A08-93C6-1CEE88C3F555}"/>
            </c:ext>
          </c:extLst>
        </c:ser>
        <c:ser>
          <c:idx val="11"/>
          <c:order val="11"/>
          <c:marker>
            <c:symbol val="none"/>
          </c:marker>
          <c:xVal>
            <c:numRef>
              <c:f>Weibul!#REF!</c:f>
            </c:numRef>
          </c:xVal>
          <c:yVal>
            <c:numRef>
              <c:f>Weibul!#REF!</c:f>
              <c:numCache>
                <c:formatCode>General</c:formatCode>
                <c:ptCount val="1"/>
                <c:pt idx="0">
                  <c:v>1</c:v>
                </c:pt>
              </c:numCache>
            </c:numRef>
          </c:yVal>
          <c:smooth val="0"/>
          <c:extLst>
            <c:ext xmlns:c15="http://schemas.microsoft.com/office/drawing/2012/chart" uri="{02D57815-91ED-43cb-92C2-25804820EDAC}">
              <c15:filteredSeriesTitle>
                <c15:tx>
                  <c:strRef>
                    <c:extLst>
                      <c:ext uri="{02D57815-91ED-43cb-92C2-25804820EDAC}">
                        <c15:formulaRef>
                          <c15:sqref>Weibul!#REF!</c15:sqref>
                        </c15:formulaRef>
                      </c:ext>
                    </c:extLst>
                    <c:strCache>
                      <c:ptCount val="1"/>
                      <c:pt idx="0">
                        <c:v>#REF!</c:v>
                      </c:pt>
                    </c:strCache>
                  </c:strRef>
                </c15:tx>
              </c15:filteredSeriesTitle>
            </c:ext>
            <c:ext xmlns:c16="http://schemas.microsoft.com/office/drawing/2014/chart" uri="{C3380CC4-5D6E-409C-BE32-E72D297353CC}">
              <c16:uniqueId val="{0000000B-728B-4A08-93C6-1CEE88C3F555}"/>
            </c:ext>
          </c:extLst>
        </c:ser>
        <c:ser>
          <c:idx val="12"/>
          <c:order val="12"/>
          <c:marker>
            <c:symbol val="none"/>
          </c:marker>
          <c:xVal>
            <c:numRef>
              <c:f>Weibul!#REF!</c:f>
            </c:numRef>
          </c:xVal>
          <c:yVal>
            <c:numRef>
              <c:f>Weibul!#REF!</c:f>
              <c:numCache>
                <c:formatCode>General</c:formatCode>
                <c:ptCount val="1"/>
                <c:pt idx="0">
                  <c:v>1</c:v>
                </c:pt>
              </c:numCache>
            </c:numRef>
          </c:yVal>
          <c:smooth val="0"/>
          <c:extLst>
            <c:ext xmlns:c15="http://schemas.microsoft.com/office/drawing/2012/chart" uri="{02D57815-91ED-43cb-92C2-25804820EDAC}">
              <c15:filteredSeriesTitle>
                <c15:tx>
                  <c:strRef>
                    <c:extLst>
                      <c:ext uri="{02D57815-91ED-43cb-92C2-25804820EDAC}">
                        <c15:formulaRef>
                          <c15:sqref>Weibul!#REF!</c15:sqref>
                        </c15:formulaRef>
                      </c:ext>
                    </c:extLst>
                    <c:strCache>
                      <c:ptCount val="1"/>
                      <c:pt idx="0">
                        <c:v>#REF!</c:v>
                      </c:pt>
                    </c:strCache>
                  </c:strRef>
                </c15:tx>
              </c15:filteredSeriesTitle>
            </c:ext>
            <c:ext xmlns:c16="http://schemas.microsoft.com/office/drawing/2014/chart" uri="{C3380CC4-5D6E-409C-BE32-E72D297353CC}">
              <c16:uniqueId val="{0000000C-728B-4A08-93C6-1CEE88C3F555}"/>
            </c:ext>
          </c:extLst>
        </c:ser>
        <c:dLbls>
          <c:showLegendKey val="0"/>
          <c:showVal val="0"/>
          <c:showCatName val="0"/>
          <c:showSerName val="0"/>
          <c:showPercent val="0"/>
          <c:showBubbleSize val="0"/>
        </c:dLbls>
        <c:axId val="289900312"/>
        <c:axId val="289896784"/>
      </c:scatterChart>
      <c:valAx>
        <c:axId val="289900312"/>
        <c:scaling>
          <c:orientation val="minMax"/>
        </c:scaling>
        <c:delete val="0"/>
        <c:axPos val="b"/>
        <c:title>
          <c:tx>
            <c:rich>
              <a:bodyPr/>
              <a:lstStyle/>
              <a:p>
                <a:pPr>
                  <a:defRPr/>
                </a:pPr>
                <a:r>
                  <a:rPr lang="de-CH"/>
                  <a:t>Alter</a:t>
                </a:r>
              </a:p>
            </c:rich>
          </c:tx>
          <c:overlay val="0"/>
        </c:title>
        <c:numFmt formatCode="General" sourceLinked="1"/>
        <c:majorTickMark val="out"/>
        <c:minorTickMark val="none"/>
        <c:tickLblPos val="nextTo"/>
        <c:crossAx val="289896784"/>
        <c:crosses val="autoZero"/>
        <c:crossBetween val="midCat"/>
      </c:valAx>
      <c:valAx>
        <c:axId val="289896784"/>
        <c:scaling>
          <c:orientation val="minMax"/>
        </c:scaling>
        <c:delete val="0"/>
        <c:axPos val="l"/>
        <c:majorGridlines/>
        <c:title>
          <c:tx>
            <c:rich>
              <a:bodyPr rot="-5400000" vert="horz"/>
              <a:lstStyle/>
              <a:p>
                <a:pPr>
                  <a:defRPr/>
                </a:pPr>
                <a:r>
                  <a:rPr lang="de-CH"/>
                  <a:t>Restwert gem. technischer Nutzungsdauer</a:t>
                </a:r>
              </a:p>
            </c:rich>
          </c:tx>
          <c:layout>
            <c:manualLayout>
              <c:xMode val="edge"/>
              <c:yMode val="edge"/>
              <c:x val="2.1116458908109634E-2"/>
              <c:y val="0.19108657394837139"/>
            </c:manualLayout>
          </c:layout>
          <c:overlay val="0"/>
        </c:title>
        <c:numFmt formatCode="General" sourceLinked="1"/>
        <c:majorTickMark val="out"/>
        <c:minorTickMark val="none"/>
        <c:tickLblPos val="nextTo"/>
        <c:crossAx val="289900312"/>
        <c:crosses val="autoZero"/>
        <c:crossBetween val="midCat"/>
      </c:valAx>
    </c:plotArea>
    <c:legend>
      <c:legendPos val="r"/>
      <c:overlay val="0"/>
    </c:legend>
    <c:plotVisOnly val="1"/>
    <c:dispBlanksAs val="gap"/>
    <c:showDLblsOverMax val="0"/>
  </c:chart>
  <c:txPr>
    <a:bodyPr/>
    <a:lstStyle/>
    <a:p>
      <a:pPr>
        <a:defRPr sz="1200">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2415131</xdr:colOff>
          <xdr:row>23</xdr:row>
          <xdr:rowOff>55643</xdr:rowOff>
        </xdr:from>
        <xdr:to>
          <xdr:col>9</xdr:col>
          <xdr:colOff>1230766</xdr:colOff>
          <xdr:row>33</xdr:row>
          <xdr:rowOff>73060</xdr:rowOff>
        </xdr:to>
        <xdr:pic>
          <xdr:nvPicPr>
            <xdr:cNvPr id="7" name="Grafik 6">
              <a:extLst>
                <a:ext uri="{FF2B5EF4-FFF2-40B4-BE49-F238E27FC236}">
                  <a16:creationId xmlns:a16="http://schemas.microsoft.com/office/drawing/2014/main" id="{00000000-0008-0000-0000-000007000000}"/>
                </a:ext>
              </a:extLst>
            </xdr:cNvPr>
            <xdr:cNvPicPr>
              <a:picLocks noChangeAspect="1" noChangeArrowheads="1"/>
              <a:extLst>
                <a:ext uri="{84589F7E-364E-4C9E-8A38-B11213B215E9}">
                  <a14:cameraTool cellRange="Name" spid="_x0000_s1138"/>
                </a:ext>
              </a:extLst>
            </xdr:cNvPicPr>
          </xdr:nvPicPr>
          <xdr:blipFill>
            <a:blip xmlns:r="http://schemas.openxmlformats.org/officeDocument/2006/relationships" r:embed="rId1"/>
            <a:stretch>
              <a:fillRect/>
            </a:stretch>
          </xdr:blipFill>
          <xdr:spPr bwMode="auto">
            <a:xfrm>
              <a:off x="9501731" y="3364900"/>
              <a:ext cx="1264920" cy="1432560"/>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xdr:twoCellAnchor editAs="oneCell">
    <xdr:from>
      <xdr:col>11</xdr:col>
      <xdr:colOff>83820</xdr:colOff>
      <xdr:row>3</xdr:row>
      <xdr:rowOff>99060</xdr:rowOff>
    </xdr:from>
    <xdr:to>
      <xdr:col>12</xdr:col>
      <xdr:colOff>2493300</xdr:colOff>
      <xdr:row>61</xdr:row>
      <xdr:rowOff>10620</xdr:rowOff>
    </xdr:to>
    <xdr:pic>
      <xdr:nvPicPr>
        <xdr:cNvPr id="4" name="Grafik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87100" y="579120"/>
          <a:ext cx="2554260" cy="830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1252941</xdr:colOff>
      <xdr:row>0</xdr:row>
      <xdr:rowOff>1386840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5240" y="15240"/>
          <a:ext cx="1237701" cy="1371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28</xdr:col>
      <xdr:colOff>9525</xdr:colOff>
      <xdr:row>0</xdr:row>
      <xdr:rowOff>142875</xdr:rowOff>
    </xdr:from>
    <xdr:to>
      <xdr:col>37</xdr:col>
      <xdr:colOff>542925</xdr:colOff>
      <xdr:row>15</xdr:row>
      <xdr:rowOff>0</xdr:rowOff>
    </xdr:to>
    <xdr:graphicFrame macro="">
      <xdr:nvGraphicFramePr>
        <xdr:cNvPr id="2" name="Diagramm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K001\WIF-Partner\WIF_Auftr&#228;ge%20aktiv\5178.01%20EF%20Umsetzungshilfe%20SVGW\4_Auswertungen\aw5178dz1600308_Zusamm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twert vs. Synergiegewinn"/>
      <sheetName val="Kalkulation gesamt"/>
      <sheetName val="WBW und Koordination"/>
      <sheetName val="Vorgehen"/>
      <sheetName val="Lebenszyklen"/>
      <sheetName val="Grundlagendaten"/>
      <sheetName val="Weibul"/>
      <sheetName val="Zusammenfassung"/>
      <sheetName val="Tabelle3"/>
    </sheetNames>
    <sheetDataSet>
      <sheetData sheetId="0"/>
      <sheetData sheetId="1"/>
      <sheetData sheetId="2"/>
      <sheetData sheetId="3"/>
      <sheetData sheetId="4"/>
      <sheetData sheetId="5"/>
      <sheetData sheetId="6"/>
      <sheetData sheetId="7"/>
      <sheetData sheetId="8">
        <row r="2">
          <cell r="A2" t="str">
            <v>Feld</v>
          </cell>
        </row>
        <row r="3">
          <cell r="A3" t="str">
            <v>innerorts</v>
          </cell>
        </row>
        <row r="4">
          <cell r="A4" t="str">
            <v>ausserorts</v>
          </cell>
        </row>
      </sheetData>
    </sheetDataSet>
  </externalBook>
</externalLink>
</file>

<file path=xl/theme/theme1.xml><?xml version="1.0" encoding="utf-8"?>
<a:theme xmlns:a="http://schemas.openxmlformats.org/drawingml/2006/main" name="WIF2018">
  <a:themeElements>
    <a:clrScheme name="WIF 2018">
      <a:dk1>
        <a:sysClr val="windowText" lastClr="000000"/>
      </a:dk1>
      <a:lt1>
        <a:sysClr val="window" lastClr="FFFFFF"/>
      </a:lt1>
      <a:dk2>
        <a:srgbClr val="44546A"/>
      </a:dk2>
      <a:lt2>
        <a:srgbClr val="E7E6E6"/>
      </a:lt2>
      <a:accent1>
        <a:srgbClr val="5F5F5F"/>
      </a:accent1>
      <a:accent2>
        <a:srgbClr val="C9442B"/>
      </a:accent2>
      <a:accent3>
        <a:srgbClr val="F5C7B8"/>
      </a:accent3>
      <a:accent4>
        <a:srgbClr val="331434"/>
      </a:accent4>
      <a:accent5>
        <a:srgbClr val="CCCA41"/>
      </a:accent5>
      <a:accent6>
        <a:srgbClr val="BFBFBF"/>
      </a:accent6>
      <a:hlink>
        <a:srgbClr val="0563C1"/>
      </a:hlink>
      <a:folHlink>
        <a:srgbClr val="954F72"/>
      </a:folHlink>
    </a:clrScheme>
    <a:fontScheme name="WIF">
      <a:majorFont>
        <a:latin typeface="Arial"/>
        <a:ea typeface=""/>
        <a:cs typeface=""/>
      </a:majorFont>
      <a:minorFont>
        <a:latin typeface="Arial"/>
        <a:ea typeface=""/>
        <a:cs typeface=""/>
      </a:minorFont>
    </a:fontScheme>
    <a:fmtScheme name="Rahmen">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hade val="98000"/>
                <a:satMod val="120000"/>
                <a:lumMod val="102000"/>
              </a:schemeClr>
            </a:gs>
            <a:gs pos="48000">
              <a:schemeClr val="phClr">
                <a:tint val="98000"/>
                <a:shade val="90000"/>
                <a:satMod val="110000"/>
                <a:lumMod val="103000"/>
              </a:schemeClr>
            </a:gs>
            <a:gs pos="100000">
              <a:schemeClr val="phClr">
                <a:tint val="98000"/>
                <a:shade val="80000"/>
                <a:satMod val="100000"/>
              </a:schemeClr>
            </a:gs>
          </a:gsLst>
          <a:lin ang="5400000" scaled="0"/>
        </a:gradFill>
      </a:bgFillStyleLst>
    </a:fmtScheme>
  </a:themeElements>
  <a:objectDefaults/>
  <a:extraClrSchemeLst/>
  <a:extLst>
    <a:ext uri="{05A4C25C-085E-4340-85A3-A5531E510DB2}">
      <thm15:themeFamily xmlns:thm15="http://schemas.microsoft.com/office/thememl/2012/main" name="WIF" id="{D6E4B0C0-F359-438E-BB0A-0557F35CA6FF}" vid="{560A3A7E-8613-412F-BFBD-8CB9A28C8623}"/>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N62"/>
  <sheetViews>
    <sheetView showGridLines="0" tabSelected="1" view="pageLayout" zoomScale="110" zoomScaleNormal="100" zoomScalePageLayoutView="110" workbookViewId="0">
      <selection activeCell="B25" sqref="B25:D25"/>
    </sheetView>
  </sheetViews>
  <sheetFormatPr baseColWidth="10" defaultColWidth="11" defaultRowHeight="12" x14ac:dyDescent="0.2"/>
  <cols>
    <col min="1" max="1" width="0.5703125" style="7" customWidth="1"/>
    <col min="2" max="2" width="62" customWidth="1"/>
    <col min="3" max="3" width="0.7109375" customWidth="1"/>
    <col min="4" max="4" width="13.85546875" customWidth="1"/>
    <col min="5" max="5" width="6" customWidth="1"/>
    <col min="6" max="6" width="2.85546875" customWidth="1"/>
    <col min="7" max="7" width="18.7109375" customWidth="1"/>
    <col min="8" max="8" width="8.28515625" customWidth="1"/>
    <col min="9" max="9" width="38.42578125" customWidth="1"/>
    <col min="10" max="10" width="19.85546875" customWidth="1"/>
    <col min="11" max="11" width="0.5703125" customWidth="1"/>
    <col min="12" max="12" width="2.28515625" customWidth="1"/>
    <col min="13" max="13" width="39.28515625" customWidth="1"/>
    <col min="14" max="14" width="0.5703125" style="35" customWidth="1"/>
    <col min="15" max="15" width="1.42578125" customWidth="1"/>
  </cols>
  <sheetData>
    <row r="1" spans="1:11" ht="15" x14ac:dyDescent="0.2">
      <c r="A1" s="6" t="s">
        <v>25</v>
      </c>
      <c r="G1" t="s">
        <v>79</v>
      </c>
      <c r="H1" s="38"/>
      <c r="I1" s="38"/>
      <c r="J1" s="38"/>
      <c r="K1" s="38"/>
    </row>
    <row r="2" spans="1:11" x14ac:dyDescent="0.2">
      <c r="G2" t="s">
        <v>80</v>
      </c>
      <c r="H2" s="38"/>
      <c r="I2" s="38"/>
      <c r="J2" s="38"/>
      <c r="K2" s="38"/>
    </row>
    <row r="3" spans="1:11" x14ac:dyDescent="0.2">
      <c r="A3" s="7" t="s">
        <v>71</v>
      </c>
      <c r="G3" t="s">
        <v>81</v>
      </c>
      <c r="H3" s="38"/>
      <c r="I3" s="38"/>
      <c r="J3" s="38"/>
      <c r="K3" s="39"/>
    </row>
    <row r="4" spans="1:11" x14ac:dyDescent="0.2">
      <c r="G4" t="s">
        <v>82</v>
      </c>
      <c r="H4" s="34"/>
    </row>
    <row r="6" spans="1:11" x14ac:dyDescent="0.2">
      <c r="A6" s="8" t="s">
        <v>41</v>
      </c>
      <c r="B6" s="9"/>
      <c r="C6" s="9"/>
      <c r="D6" s="9"/>
      <c r="E6" s="9"/>
      <c r="F6" s="9"/>
      <c r="G6" s="9"/>
    </row>
    <row r="7" spans="1:11" x14ac:dyDescent="0.2">
      <c r="A7" s="8"/>
      <c r="B7" s="9"/>
      <c r="C7" s="9"/>
      <c r="D7" s="9"/>
      <c r="E7" s="9"/>
      <c r="F7" s="9"/>
      <c r="G7" s="9"/>
    </row>
    <row r="8" spans="1:11" ht="11.45" customHeight="1" x14ac:dyDescent="0.2">
      <c r="A8" s="10" t="s">
        <v>2</v>
      </c>
      <c r="B8" s="11"/>
      <c r="C8" s="11"/>
      <c r="D8" s="12"/>
      <c r="E8" s="11"/>
      <c r="F8" s="27"/>
      <c r="G8" s="40" t="s">
        <v>75</v>
      </c>
      <c r="H8" s="40"/>
      <c r="I8" s="40"/>
      <c r="J8" s="40"/>
      <c r="K8" s="40"/>
    </row>
    <row r="9" spans="1:11" x14ac:dyDescent="0.2">
      <c r="A9" s="13"/>
      <c r="B9" s="14" t="s">
        <v>3</v>
      </c>
      <c r="C9" s="14"/>
      <c r="D9" s="15" t="s">
        <v>26</v>
      </c>
      <c r="E9" s="9"/>
      <c r="F9" s="9"/>
      <c r="G9" s="40"/>
      <c r="H9" s="40"/>
      <c r="I9" s="40"/>
      <c r="J9" s="40"/>
      <c r="K9" s="40"/>
    </row>
    <row r="10" spans="1:11" x14ac:dyDescent="0.2">
      <c r="A10" s="13"/>
      <c r="B10" s="14" t="str">
        <f>IF(D9="Ja","Sind die Schäden im Abstand von weniger als 10 Jahren aufgetreten?","")</f>
        <v/>
      </c>
      <c r="C10" s="14"/>
      <c r="D10" s="16"/>
      <c r="E10" s="9"/>
      <c r="F10" s="9"/>
      <c r="G10" s="40"/>
      <c r="H10" s="40"/>
      <c r="I10" s="40"/>
      <c r="J10" s="40"/>
      <c r="K10" s="40"/>
    </row>
    <row r="11" spans="1:11" x14ac:dyDescent="0.2">
      <c r="A11" s="13"/>
      <c r="B11" s="14" t="str">
        <f>IF(D10="Ja","Ist die Schadensursache bei mindestens zwei Schäden Alterung oder Korrosion?","")</f>
        <v/>
      </c>
      <c r="C11" s="14"/>
      <c r="D11" s="16"/>
      <c r="E11" s="9"/>
      <c r="F11" s="9"/>
      <c r="G11" s="40"/>
      <c r="H11" s="40"/>
      <c r="I11" s="40"/>
      <c r="J11" s="40"/>
      <c r="K11" s="40"/>
    </row>
    <row r="12" spans="1:11" ht="11.45" customHeight="1" x14ac:dyDescent="0.2">
      <c r="A12" s="13"/>
      <c r="B12" s="17"/>
      <c r="C12" s="17"/>
      <c r="D12" s="9"/>
      <c r="E12" s="9"/>
      <c r="F12" s="9"/>
      <c r="H12" s="30"/>
      <c r="I12" s="30"/>
      <c r="J12" s="30"/>
      <c r="K12" s="30"/>
    </row>
    <row r="13" spans="1:11" x14ac:dyDescent="0.2">
      <c r="A13" s="13"/>
      <c r="B13" s="42" t="str">
        <f>IF(AND(D9="Ja",D10="Ja",D11="Ja"),"Das Risiko, dass in den nächsten Jahren weitere Schäden auftreten, ist sehr hoch.","")</f>
        <v/>
      </c>
      <c r="C13" s="42"/>
      <c r="D13" s="42"/>
      <c r="E13" s="42"/>
      <c r="F13" s="9"/>
      <c r="G13" s="30"/>
      <c r="H13" s="30"/>
      <c r="I13" s="30"/>
      <c r="J13" s="30"/>
      <c r="K13" s="30"/>
    </row>
    <row r="14" spans="1:11" ht="11.45" customHeight="1" x14ac:dyDescent="0.2">
      <c r="A14" s="8" t="str">
        <f>IF(OR(D9="Nein",D10="Nein",D11="Nein"),'Schäden durch Baumassnahme'!A7,"")</f>
        <v>Schäden durch Baumassnahme</v>
      </c>
      <c r="B14" s="17"/>
      <c r="C14" s="17"/>
      <c r="D14" s="9"/>
      <c r="E14" s="9"/>
      <c r="F14" s="9"/>
      <c r="G14" s="40" t="str">
        <f>IF(LEN(A14)&gt;0,Texte!A1,"")</f>
        <v>Bei setzungsempfindlichen Materialien werden durch eine Grabenwand in unmittelbarer Nähe meistens Schäden induziert. Durch die neue Setzung entwickeln sich Spannungen und die Leitung geht während oder kurz nach den Bauarbeiten kaputt. 
Setzungsempfindliche Materialien sind z. B.: Grauguss mit Lamellengraphit (GGL, GJL), Stemm-Muffen-Stahl, Polyvinylchlorid (PVC), Faserzement (Eternit), Glasfaserverstärkte Kunststoffe (GFK). Nicht setzungsempfindlich sind z. B. Gusseisen mit Kugelgraphit (Sphäroguss, globularer Grauguss, GGG, GJS) und gestreckter oder verschweisster Stahl. 
Grosse Erschütterungen oder Verdichtungen können auftreten bei: Berstlining, Verdichtung des Oberbaus, Vortrieb, Ziehen von Spundwänden, Betonabbruch.</v>
      </c>
      <c r="H14" s="40"/>
      <c r="I14" s="40"/>
      <c r="J14" s="40"/>
      <c r="K14" s="30"/>
    </row>
    <row r="15" spans="1:11" ht="11.45" customHeight="1" x14ac:dyDescent="0.2">
      <c r="A15" s="37" t="str">
        <f>IF(AND(D9="Ja",D10="Ja",D11="Ja"),"Bauen Sie mit!","")</f>
        <v/>
      </c>
      <c r="B15" s="37"/>
      <c r="C15" s="37"/>
      <c r="D15" s="37"/>
      <c r="E15" s="37"/>
      <c r="F15" s="9"/>
      <c r="G15" s="40"/>
      <c r="H15" s="40"/>
      <c r="I15" s="40"/>
      <c r="J15" s="40"/>
      <c r="K15" s="30"/>
    </row>
    <row r="16" spans="1:11" ht="11.45" customHeight="1" x14ac:dyDescent="0.2">
      <c r="A16" s="13" t="str">
        <f>IF(OR(D9="Nein",D10="Nein",D11="Nein"),'Schäden durch Baumassnahme'!A9,"")</f>
        <v>Erzeugt die Baumassnahme Dritter Schäden?</v>
      </c>
      <c r="B16" s="17"/>
      <c r="C16" s="17"/>
      <c r="D16" s="9"/>
      <c r="E16" s="9"/>
      <c r="F16" s="9"/>
      <c r="G16" s="40"/>
      <c r="H16" s="40"/>
      <c r="I16" s="40"/>
      <c r="J16" s="40"/>
      <c r="K16" s="30"/>
    </row>
    <row r="17" spans="1:14" x14ac:dyDescent="0.2">
      <c r="A17" s="13"/>
      <c r="B17" s="14" t="str">
        <f>IF(LEN($A$16)&gt;1,'Schäden durch Baumassnahme'!B10,"")</f>
        <v>Ist das Material der Leitung setzungsempfindlich?</v>
      </c>
      <c r="C17" s="14"/>
      <c r="D17" s="16" t="s">
        <v>5</v>
      </c>
      <c r="E17" s="9"/>
      <c r="F17" s="9"/>
      <c r="G17" s="40"/>
      <c r="H17" s="40"/>
      <c r="I17" s="40"/>
      <c r="J17" s="40"/>
      <c r="K17" s="30"/>
    </row>
    <row r="18" spans="1:14" x14ac:dyDescent="0.2">
      <c r="A18" s="13"/>
      <c r="B18" s="14" t="str">
        <f>IF(D17="Ja",'Schäden durch Baumassnahme'!B12,"")</f>
        <v>Ist die Grabenwand in unmittelbarer Nähe (Abstand &lt; 1,5 m)?</v>
      </c>
      <c r="C18" s="14"/>
      <c r="D18" s="16" t="s">
        <v>26</v>
      </c>
      <c r="E18" s="9"/>
      <c r="F18" s="9"/>
      <c r="G18" s="40"/>
      <c r="H18" s="40"/>
      <c r="I18" s="40"/>
      <c r="J18" s="40"/>
      <c r="K18" s="30"/>
    </row>
    <row r="19" spans="1:14" x14ac:dyDescent="0.2">
      <c r="A19" s="13"/>
      <c r="B19" s="14" t="str">
        <f>IF(D18="Nein",'Schäden durch Baumassnahme'!B11,"")</f>
        <v>Ist mit grossen Erschütterungen oder Verdichtungen zu rechnen?</v>
      </c>
      <c r="C19" s="14"/>
      <c r="D19" s="16" t="s">
        <v>26</v>
      </c>
      <c r="E19" s="9"/>
      <c r="F19" s="9"/>
      <c r="G19" s="40"/>
      <c r="H19" s="40"/>
      <c r="I19" s="40"/>
      <c r="J19" s="40"/>
      <c r="K19" s="30"/>
    </row>
    <row r="20" spans="1:14" x14ac:dyDescent="0.2">
      <c r="A20" s="13"/>
      <c r="B20" s="17"/>
      <c r="C20" s="17"/>
      <c r="D20" s="9"/>
      <c r="E20" s="9"/>
      <c r="F20" s="9"/>
      <c r="G20" s="40"/>
      <c r="H20" s="40"/>
      <c r="I20" s="40"/>
      <c r="J20" s="40"/>
      <c r="K20" s="30"/>
    </row>
    <row r="21" spans="1:14" ht="11.45" customHeight="1" x14ac:dyDescent="0.2">
      <c r="A21" s="13"/>
      <c r="B21" s="42" t="str">
        <f>IF(AND(D17="Ja",OR(D18="Ja",D19="Ja")),"Das Risiko für Schäden während oder kurz nach der Baumassnahme ist sehr hoch.","")</f>
        <v/>
      </c>
      <c r="C21" s="42"/>
      <c r="D21" s="42"/>
      <c r="E21" s="42"/>
      <c r="F21" s="9"/>
      <c r="G21" s="40"/>
      <c r="H21" s="40"/>
      <c r="I21" s="40"/>
      <c r="J21" s="40"/>
      <c r="K21" s="30"/>
    </row>
    <row r="22" spans="1:14" ht="11.45" customHeight="1" x14ac:dyDescent="0.2">
      <c r="A22" s="8" t="str">
        <f>IF(D17="","",IF(OR(D17="Nein",AND(D18="Nein",D19="Nein")),Restwert!A15,""))</f>
        <v>Restwertbestimmung</v>
      </c>
      <c r="B22" s="14"/>
      <c r="C22" s="17"/>
      <c r="D22" s="9"/>
      <c r="E22" s="9"/>
      <c r="F22" s="9"/>
      <c r="G22" s="40"/>
      <c r="H22" s="40"/>
      <c r="I22" s="40"/>
      <c r="J22" s="40"/>
      <c r="K22" s="30"/>
    </row>
    <row r="23" spans="1:14" x14ac:dyDescent="0.2">
      <c r="A23" s="37" t="str">
        <f>IF(AND(D17="Ja",OR(D18="Ja",D19="Ja")),"Bauen Sie mit!","")</f>
        <v/>
      </c>
      <c r="B23" s="37"/>
      <c r="C23" s="37"/>
      <c r="D23" s="37"/>
      <c r="E23" s="37"/>
      <c r="F23" s="9"/>
      <c r="G23" s="40" t="str">
        <f>IF(LEN(A22)&gt;1,CONCATENATE(Texte!A3,Texte!A4),"")</f>
        <v>Der Restwert einer Leitung wird bestimmt, indem linear über die Nutzungsdauer abgeschrieben wird (Beispiel s. Abb.). Die Nutzungsdauer kann auf 3 Arten bestimmt werden: - sie wird pragmatisch mit 80 Jahren angenommen, - sie ist aus gemeindeinternen Abschätzungen bekannt, - sie kann aus den Parametern b und T berechnet werden. (b und T sind tabellarisch hinterlegt und wurden aus gemittelten Werten verschiedener Schweizer Gemeinden ermittelt). In diesem Fall muss eine sogenannte Grenzschadensrate festgelegt werden. Diese beschreibt, wie viele Schäden pro km und Jahr zugelassen werden und ab wann die Gemeinde das Risiko von Schäden als zu hoch einschätzt. Eine niedrige Grenzschadensrate wäre 0.1 (bei grossen Durchmessern, wichtigen Leitungen und Leitungen mit grossem Schadenspotenzial), eine hohe Grenzschadensrate wäre 0.3 (bei kleinen Durchmessern, Nebenleitungen und Leitungen mit niedrigem Schadenspotenzial. 
Wichtig: das Baujahr der Leitung muss in jedem Fall bekannt sein!</v>
      </c>
      <c r="H23" s="40"/>
      <c r="I23" s="40"/>
      <c r="J23" s="32"/>
      <c r="K23" s="30"/>
    </row>
    <row r="24" spans="1:14" ht="11.45" customHeight="1" x14ac:dyDescent="0.2">
      <c r="A24" s="13" t="str">
        <f>IF(D17="","",IF(OR(D17="Nein",AND(D18="Nein",D19="Nein")),Restwert!A9,""))</f>
        <v>Wie möchten Sie den Restwert der Leitung bestimmen?</v>
      </c>
      <c r="B24" s="17"/>
      <c r="C24" s="17"/>
      <c r="D24" s="9"/>
      <c r="E24" s="9"/>
      <c r="F24" s="9"/>
      <c r="G24" s="40"/>
      <c r="H24" s="40"/>
      <c r="I24" s="40"/>
      <c r="J24" s="32"/>
      <c r="K24" s="30"/>
    </row>
    <row r="25" spans="1:14" x14ac:dyDescent="0.2">
      <c r="A25" s="13"/>
      <c r="B25" s="44"/>
      <c r="C25" s="44"/>
      <c r="D25" s="44"/>
      <c r="E25" s="9"/>
      <c r="F25" s="9"/>
      <c r="G25" s="40"/>
      <c r="H25" s="40"/>
      <c r="I25" s="40"/>
      <c r="J25" s="18">
        <f>IF(LEN(G23)&gt;10,1,2)</f>
        <v>1</v>
      </c>
      <c r="K25" s="30"/>
    </row>
    <row r="26" spans="1:14" x14ac:dyDescent="0.2">
      <c r="A26" s="13"/>
      <c r="B26" s="14" t="str">
        <f>IF(OR(A22="Bauen Sie mit!",B25=Restwert!B10,B25=Restwert!B12,B25=Restwert!B13,B25=""),"","Die spezifische Nutzungsdauer ist:")</f>
        <v/>
      </c>
      <c r="C26" s="17"/>
      <c r="D26" s="16"/>
      <c r="E26" s="9" t="str">
        <f>IF(B26="Die spezifische Nutzungsdauer ist:","Jahre","")</f>
        <v/>
      </c>
      <c r="F26" s="9"/>
      <c r="G26" s="40"/>
      <c r="H26" s="40"/>
      <c r="I26" s="40"/>
      <c r="J26" s="32"/>
      <c r="K26" s="30"/>
    </row>
    <row r="27" spans="1:14" x14ac:dyDescent="0.2">
      <c r="A27" s="13"/>
      <c r="B27" s="14" t="str">
        <f>IF(OR(A22="Bauen Sie mit!",B25=Restwert!B10,B25=""),"","Das Baujahr ist:")</f>
        <v/>
      </c>
      <c r="C27" s="17"/>
      <c r="D27" s="16"/>
      <c r="E27" s="18"/>
      <c r="F27" s="18"/>
      <c r="G27" s="40"/>
      <c r="H27" s="40"/>
      <c r="I27" s="40"/>
      <c r="J27" s="32"/>
      <c r="K27" s="30"/>
      <c r="L27" s="4"/>
      <c r="M27" s="4"/>
      <c r="N27" s="36"/>
    </row>
    <row r="28" spans="1:14" x14ac:dyDescent="0.2">
      <c r="A28" s="18" t="str">
        <f>IF(B25=Restwert!B13,IF(D27&lt;1946,"MatA",IF(D27&lt;1966,"MatB",IF(D27&lt;1973,"MatC",IF(D27&lt;1981,"MatD",IF(D27&lt;1991,"MatE","Mat"))))),"")</f>
        <v/>
      </c>
      <c r="B28" s="14" t="str">
        <f>IF(OR(A22="Bauen Sie mit!",B25=Restwert!B10,B25=Restwert!B12,B25=Restwert!B11,B25=""),"","Das Material der Leitung ist:")</f>
        <v/>
      </c>
      <c r="C28" s="17"/>
      <c r="D28" s="16"/>
      <c r="E28" s="9"/>
      <c r="F28" s="9"/>
      <c r="G28" s="40"/>
      <c r="H28" s="40"/>
      <c r="I28" s="40"/>
      <c r="J28" s="32"/>
      <c r="K28" s="30"/>
    </row>
    <row r="29" spans="1:14" x14ac:dyDescent="0.2">
      <c r="A29" s="18" t="str">
        <f>IF(LEFT(D28,1)="G","Durchmesser","")</f>
        <v/>
      </c>
      <c r="B29" s="14" t="str">
        <f>IF(OR(A22="Bauen Sie mit!",B25=Restwert!B10,B25=Restwert!B12,B25=Restwert!B11,B25="",A29=""),"","Der Durchmesser der Leitung ist:")</f>
        <v/>
      </c>
      <c r="C29" s="17"/>
      <c r="D29" s="16"/>
      <c r="E29" s="9"/>
      <c r="F29" s="9"/>
      <c r="G29" s="40"/>
      <c r="H29" s="40"/>
      <c r="I29" s="40"/>
      <c r="J29" s="32"/>
      <c r="K29" s="30"/>
    </row>
    <row r="30" spans="1:14" x14ac:dyDescent="0.2">
      <c r="A30" s="18" t="str">
        <f>IF(B30="","","Schadensrate")</f>
        <v/>
      </c>
      <c r="B30" s="14" t="str">
        <f>IF(OR(A22="Bauen Sie mit!",B25=Restwert!B10,B25=Restwert!B12,B25=Restwert!B11,B25=""),"","Die zulässige Schadensrate ist:")</f>
        <v/>
      </c>
      <c r="C30" s="17"/>
      <c r="D30" s="19"/>
      <c r="E30" s="9"/>
      <c r="F30" s="9"/>
      <c r="G30" s="40"/>
      <c r="H30" s="40"/>
      <c r="I30" s="40"/>
      <c r="J30" s="32"/>
      <c r="K30" s="30"/>
    </row>
    <row r="31" spans="1:14" ht="11.45" customHeight="1" x14ac:dyDescent="0.2">
      <c r="A31" s="13"/>
      <c r="B31" s="14" t="str">
        <f>IF(OR(B25=Restwert!B12,B25=Restwert!B13),"Die spezifische Nutzungsdauer dieser Leitung ist:","")</f>
        <v/>
      </c>
      <c r="C31" s="17"/>
      <c r="D31" s="20" t="str">
        <f>IFERROR(IF(B25=Restwert!B12,80,IF(B25=Restwert!B13,HLOOKUP(CONCATENATE(D28,D29),Weibul!$C$2:$T$10,9,FALSE),"")),"")</f>
        <v/>
      </c>
      <c r="E31" s="9" t="str">
        <f>IFERROR(IF(D31,"Jahre"),"")</f>
        <v/>
      </c>
      <c r="F31" s="9"/>
      <c r="G31" s="40"/>
      <c r="H31" s="40"/>
      <c r="I31" s="40"/>
      <c r="J31" s="32"/>
      <c r="K31" s="30"/>
    </row>
    <row r="32" spans="1:14" x14ac:dyDescent="0.2">
      <c r="A32" s="13"/>
      <c r="B32" s="21" t="str">
        <f>IF(AND(A22="Restwertbestimmung",ISBLANK(H4)),"Bitte Ausführungsjahr im Dokumentkopf eingeben",IF(AND(A22="Restwertbestimmung",H4-D27&lt;=0),"Bitte Ausführungsjahr im Dokumentkopf oder Baujahr überprüfen",IF(OR(B25=Restwert!B11,B25=Restwert!B12,B25=Restwert!B13),"Der Restwert der Leitung im Ausführungsjahr ist:","")))</f>
        <v>Bitte Ausführungsjahr im Dokumentkopf eingeben</v>
      </c>
      <c r="C32" s="21"/>
      <c r="D32" s="28" t="str">
        <f>IFERROR(IF(AND(LEN(B25)&gt;1,D27&gt;0),IF(D27&lt;H4,IF(AND(B25=Restwert!B11,D26&gt;0,D27&gt;0),MAX(0,1-((H4-D27))/D26),MAX(0,1-((H4-D27))/D31)),""),""),"")</f>
        <v/>
      </c>
      <c r="E32" s="9"/>
      <c r="F32" s="9"/>
      <c r="G32" s="40"/>
      <c r="H32" s="40"/>
      <c r="I32" s="40"/>
      <c r="J32" s="32"/>
      <c r="K32" s="30"/>
    </row>
    <row r="33" spans="1:11" x14ac:dyDescent="0.2">
      <c r="A33" s="13"/>
      <c r="B33" s="21" t="str">
        <f>IF(OR(B32="Bitte Ausführungsjahr im Dokumentkopf eingeben",B32="Bitte Ausführungsjahr im Dokumentkopf oder Baujahr überprüfen"),"",IF(LEN(B32)&gt;1,"Die Restlebensdauer im Ausführungsjahr beträgt:",""))</f>
        <v/>
      </c>
      <c r="C33" s="21"/>
      <c r="D33" s="23" t="str">
        <f>IF(LEN(D32)&gt;0,IF(D26&gt;0,D32*D26,IF(D31&gt;0,D32*D31,"")),"")</f>
        <v/>
      </c>
      <c r="E33" s="26" t="str">
        <f>IF(LEN(D33)&gt;0,"Jahre","")</f>
        <v/>
      </c>
      <c r="F33" s="26"/>
      <c r="G33" s="40"/>
      <c r="H33" s="40"/>
      <c r="I33" s="40"/>
      <c r="J33" s="32"/>
      <c r="K33" s="30"/>
    </row>
    <row r="34" spans="1:11" x14ac:dyDescent="0.2">
      <c r="A34" s="13"/>
      <c r="B34" s="24"/>
      <c r="C34" s="24"/>
      <c r="D34" s="22"/>
      <c r="E34" s="9"/>
      <c r="F34" s="9"/>
      <c r="G34" s="40"/>
      <c r="H34" s="40"/>
      <c r="I34" s="40"/>
      <c r="J34" s="32"/>
      <c r="K34" s="30"/>
    </row>
    <row r="35" spans="1:11" x14ac:dyDescent="0.2">
      <c r="A35" s="13"/>
      <c r="B35" s="42" t="str">
        <f>IF(D32="","",IF(D32&gt;35%,"Der Restwert der Leitung ist &gt; 35 %",IF(D32&lt;5%,"Der Restwert der Leitung ist &lt; 5 %","")))</f>
        <v/>
      </c>
      <c r="C35" s="42"/>
      <c r="D35" s="42"/>
      <c r="E35" s="42"/>
      <c r="F35" s="9"/>
      <c r="G35" s="40"/>
      <c r="H35" s="40"/>
      <c r="I35" s="40"/>
      <c r="J35" s="32"/>
      <c r="K35" s="30"/>
    </row>
    <row r="36" spans="1:11" ht="11.45" customHeight="1" x14ac:dyDescent="0.2">
      <c r="A36" s="8" t="str">
        <f>IF(D32="","",IF(A37="",Synergiegewinn!A17,""))</f>
        <v/>
      </c>
      <c r="B36" s="17"/>
      <c r="C36" s="17"/>
      <c r="D36" s="9"/>
      <c r="E36" s="9"/>
      <c r="F36" s="9"/>
      <c r="G36" s="40" t="str">
        <f>IF(LEN(A36)&gt;1,Texte!A6,"")</f>
        <v/>
      </c>
      <c r="H36" s="40"/>
      <c r="I36" s="40"/>
      <c r="J36" s="40"/>
      <c r="K36" s="30"/>
    </row>
    <row r="37" spans="1:11" ht="11.45" customHeight="1" x14ac:dyDescent="0.2">
      <c r="A37" s="37" t="str">
        <f>IF(D32="","",IF(D32&gt;35%,"Warten Sie und bauen nicht mit!",IF(D32&lt;5%,"Bauen Sie mit!","")))</f>
        <v/>
      </c>
      <c r="B37" s="37"/>
      <c r="C37" s="37"/>
      <c r="D37" s="37"/>
      <c r="E37" s="37"/>
      <c r="F37" s="9"/>
      <c r="G37" s="40"/>
      <c r="H37" s="40"/>
      <c r="I37" s="40"/>
      <c r="J37" s="40"/>
      <c r="K37" s="30"/>
    </row>
    <row r="38" spans="1:11" ht="11.45" customHeight="1" x14ac:dyDescent="0.2">
      <c r="A38" s="13" t="str">
        <f>IF(OR(A36="",A36="Warten Sie und bauen nicht mit!"),"",Synergiegewinn!A9)</f>
        <v/>
      </c>
      <c r="B38" s="17"/>
      <c r="C38" s="17"/>
      <c r="D38" s="25"/>
      <c r="E38" s="9"/>
      <c r="F38" s="9"/>
      <c r="G38" s="40"/>
      <c r="H38" s="40"/>
      <c r="I38" s="40"/>
      <c r="J38" s="40"/>
      <c r="K38" s="30"/>
    </row>
    <row r="39" spans="1:11" x14ac:dyDescent="0.2">
      <c r="A39" s="13"/>
      <c r="B39" s="21" t="str">
        <f>IF(A38=Synergiegewinn!A9,"Der Synergiegewinn für Wasser ist:","")</f>
        <v/>
      </c>
      <c r="C39" s="21"/>
      <c r="D39" s="29"/>
      <c r="E39" s="9"/>
      <c r="F39" s="9"/>
      <c r="G39" s="40"/>
      <c r="H39" s="40"/>
      <c r="I39" s="40"/>
      <c r="J39" s="40"/>
      <c r="K39" s="30"/>
    </row>
    <row r="40" spans="1:11" x14ac:dyDescent="0.2">
      <c r="A40" s="13"/>
      <c r="B40" s="14"/>
      <c r="C40" s="21"/>
      <c r="D40" s="22"/>
      <c r="E40" s="9"/>
      <c r="F40" s="9"/>
      <c r="G40" s="40"/>
      <c r="H40" s="40"/>
      <c r="I40" s="40"/>
      <c r="J40" s="40"/>
      <c r="K40" s="30"/>
    </row>
    <row r="41" spans="1:11" x14ac:dyDescent="0.2">
      <c r="A41" s="8" t="str">
        <f>IFERROR(IF(AND(LEN(D39)&gt;0),"Restwertverlust",""),"")</f>
        <v/>
      </c>
      <c r="B41" s="14"/>
      <c r="C41" s="21"/>
      <c r="D41" s="22"/>
      <c r="E41" s="9"/>
      <c r="F41" s="9"/>
      <c r="G41" s="40"/>
      <c r="H41" s="40"/>
      <c r="I41" s="40"/>
      <c r="J41" s="40"/>
      <c r="K41" s="30"/>
    </row>
    <row r="42" spans="1:11" ht="11.45" customHeight="1" x14ac:dyDescent="0.2">
      <c r="A42" s="8"/>
      <c r="B42" s="14"/>
      <c r="C42" s="21"/>
      <c r="D42" s="22"/>
      <c r="E42" s="9"/>
      <c r="F42" s="9"/>
      <c r="H42" s="30"/>
      <c r="I42" s="30"/>
      <c r="J42" s="30"/>
      <c r="K42" s="30"/>
    </row>
    <row r="43" spans="1:11" ht="11.45" customHeight="1" x14ac:dyDescent="0.2">
      <c r="A43" s="13"/>
      <c r="B43" s="21" t="str">
        <f>IF(LEN(D39)&gt;0,IF(D32-D39&gt;5%,"Der vorläufige Restwertverlust beträgt noch:",IF(D32-D39&lt;=5%,"Der Restwertverlust ist","")),"")</f>
        <v/>
      </c>
      <c r="C43" s="17"/>
      <c r="D43" s="33" t="str">
        <f>IF(LEN(B43)&gt;0,IF(D32-D39&gt;=0,D32-D39,"&lt; 0 %"),"")</f>
        <v/>
      </c>
      <c r="E43" s="9"/>
      <c r="F43" s="9"/>
      <c r="G43" s="41" t="str">
        <f>IF(LEN(A41)&gt;1,Texte!A8,"")</f>
        <v/>
      </c>
      <c r="H43" s="41"/>
      <c r="I43" s="41"/>
      <c r="J43" s="41"/>
      <c r="K43" s="30"/>
    </row>
    <row r="44" spans="1:11" ht="11.45" customHeight="1" x14ac:dyDescent="0.2">
      <c r="A44" s="13"/>
      <c r="B44" s="21"/>
      <c r="C44" s="17"/>
      <c r="D44" s="33"/>
      <c r="E44" s="9"/>
      <c r="F44" s="9"/>
      <c r="G44" s="41"/>
      <c r="H44" s="41"/>
      <c r="I44" s="41"/>
      <c r="J44" s="41"/>
      <c r="K44" s="30"/>
    </row>
    <row r="45" spans="1:11" x14ac:dyDescent="0.2">
      <c r="A45" s="13"/>
      <c r="B45" s="43" t="str">
        <f>IF(LEN(D39)&gt;0,IF(D32-D39&gt;5%,"",IF(D32-D39&lt;=0,"Der Synergiegewinn ist grösser als der Restwert",IF(D32-D39&lt;=5%,"Der Synergiegewinn ist ungefähr so gross wie der Restwert",""))),"")</f>
        <v/>
      </c>
      <c r="C45" s="43"/>
      <c r="D45" s="43"/>
      <c r="E45" s="43"/>
      <c r="F45" s="9"/>
      <c r="G45" s="41"/>
      <c r="H45" s="41"/>
      <c r="I45" s="41"/>
      <c r="J45" s="41"/>
      <c r="K45" s="30"/>
    </row>
    <row r="46" spans="1:11" ht="11.45" customHeight="1" x14ac:dyDescent="0.2">
      <c r="A46" s="8" t="str">
        <f>IF(LEN(B43)=44,Auswirkungen!A16,"")</f>
        <v/>
      </c>
      <c r="B46" s="9"/>
      <c r="C46" s="9"/>
      <c r="D46" s="9"/>
      <c r="E46" s="9"/>
      <c r="F46" s="9"/>
      <c r="G46" s="30"/>
      <c r="H46" s="30"/>
      <c r="I46" s="30"/>
      <c r="J46" s="30"/>
      <c r="K46" s="30"/>
    </row>
    <row r="47" spans="1:11" x14ac:dyDescent="0.2">
      <c r="A47" s="45" t="str">
        <f>IF(D39="","",IF(LEN(B45)&gt;=47,"Bauen Sie mit!",""))</f>
        <v/>
      </c>
      <c r="B47" s="45"/>
      <c r="C47" s="45"/>
      <c r="D47" s="45"/>
      <c r="E47" s="45"/>
      <c r="F47" s="9"/>
      <c r="G47" s="9"/>
      <c r="H47" s="30"/>
      <c r="I47" s="30"/>
      <c r="J47" s="30"/>
      <c r="K47" s="30"/>
    </row>
    <row r="48" spans="1:11" ht="11.45" customHeight="1" x14ac:dyDescent="0.2">
      <c r="A48" s="13" t="str">
        <f>IF(A46="","",Auswirkungen!A9)</f>
        <v/>
      </c>
      <c r="B48" s="17"/>
      <c r="C48" s="17"/>
      <c r="D48" s="9"/>
      <c r="E48" s="9"/>
      <c r="F48" s="9"/>
      <c r="G48" s="41" t="str">
        <f>IF(LEN(A46)&gt;0,Texte!A10,"")</f>
        <v/>
      </c>
      <c r="H48" s="41"/>
      <c r="I48" s="41"/>
      <c r="J48" s="41"/>
      <c r="K48" s="41"/>
    </row>
    <row r="49" spans="1:11" x14ac:dyDescent="0.2">
      <c r="A49" s="13"/>
      <c r="B49" s="14" t="str">
        <f>IF($A$48=Auswirkungen!$A$9,Auswirkungen!B10,"")</f>
        <v/>
      </c>
      <c r="C49" s="17"/>
      <c r="D49" s="16"/>
      <c r="E49" s="9"/>
      <c r="F49" s="9"/>
      <c r="G49" s="41"/>
      <c r="H49" s="41"/>
      <c r="I49" s="41"/>
      <c r="J49" s="41"/>
      <c r="K49" s="41"/>
    </row>
    <row r="50" spans="1:11" x14ac:dyDescent="0.2">
      <c r="A50" s="13"/>
      <c r="B50" s="14" t="str">
        <f>IF($A$48=Auswirkungen!$A$9,IF(D49="Nein",Auswirkungen!B11,""),"")</f>
        <v/>
      </c>
      <c r="C50" s="17"/>
      <c r="D50" s="16"/>
      <c r="E50" s="9"/>
      <c r="F50" s="9"/>
      <c r="G50" s="41"/>
      <c r="H50" s="41"/>
      <c r="I50" s="41"/>
      <c r="J50" s="41"/>
      <c r="K50" s="41"/>
    </row>
    <row r="51" spans="1:11" ht="11.45" customHeight="1" x14ac:dyDescent="0.2">
      <c r="A51" s="13"/>
      <c r="B51" s="14" t="str">
        <f>IF($A$48=Auswirkungen!$A$9,IF(D49="Nein",Auswirkungen!B12,""),"")</f>
        <v/>
      </c>
      <c r="C51" s="17"/>
      <c r="D51" s="16"/>
      <c r="E51" s="9"/>
      <c r="F51" s="9"/>
      <c r="G51" s="41"/>
      <c r="H51" s="41"/>
      <c r="I51" s="41"/>
      <c r="J51" s="41"/>
      <c r="K51" s="41"/>
    </row>
    <row r="52" spans="1:11" x14ac:dyDescent="0.2">
      <c r="A52" s="13"/>
      <c r="B52" s="14" t="str">
        <f>IF($A$48=Auswirkungen!$A$9,IF(D49="Nein",Auswirkungen!B13,""),"")</f>
        <v/>
      </c>
      <c r="C52" s="17"/>
      <c r="D52" s="16"/>
      <c r="E52" s="9"/>
      <c r="F52" s="9"/>
      <c r="G52" s="9"/>
      <c r="H52" s="30"/>
      <c r="I52" s="30"/>
      <c r="J52" s="30"/>
      <c r="K52" s="30"/>
    </row>
    <row r="53" spans="1:11" x14ac:dyDescent="0.2">
      <c r="A53" s="13"/>
      <c r="B53" s="14" t="str">
        <f>IF($A$48=Auswirkungen!$A$9,IF(D49="Nein",Auswirkungen!B14,""),"")</f>
        <v/>
      </c>
      <c r="C53" s="17"/>
      <c r="D53" s="16"/>
      <c r="E53" s="9"/>
      <c r="F53" s="9"/>
      <c r="G53" s="9"/>
      <c r="H53" s="30"/>
      <c r="I53" s="30"/>
      <c r="J53" s="30"/>
      <c r="K53" s="30"/>
    </row>
    <row r="54" spans="1:11" x14ac:dyDescent="0.2">
      <c r="A54" s="13"/>
      <c r="B54" s="21" t="str">
        <f>IF(D49="Nein","Der theoretische Verlust durch das Schadensausmass beträgt:","")</f>
        <v/>
      </c>
      <c r="C54" s="17"/>
      <c r="D54" s="28" t="str">
        <f>IF(LEN(B58)&gt;1,COUNTIF(D50:D53,"Ja")*5%,"")</f>
        <v/>
      </c>
      <c r="E54" s="9"/>
      <c r="F54" s="9"/>
      <c r="G54" s="9"/>
      <c r="H54" s="30"/>
      <c r="I54" s="30"/>
      <c r="J54" s="30"/>
      <c r="K54" s="30"/>
    </row>
    <row r="55" spans="1:11" x14ac:dyDescent="0.2">
      <c r="A55" s="13"/>
      <c r="B55" s="17"/>
      <c r="C55" s="17"/>
      <c r="D55" s="9"/>
      <c r="E55" s="9"/>
      <c r="F55" s="9"/>
      <c r="G55" s="9"/>
      <c r="H55" s="30"/>
      <c r="I55" s="30"/>
      <c r="J55" s="30"/>
      <c r="K55" s="30"/>
    </row>
    <row r="56" spans="1:11" x14ac:dyDescent="0.2">
      <c r="A56" s="8" t="str">
        <f>IF(D49="Nein",IF(OR(D50="",D51="",D52="",D53=""),"","Schadensbewertung"),"")</f>
        <v/>
      </c>
      <c r="B56" s="17"/>
      <c r="C56" s="17"/>
      <c r="D56" s="9"/>
      <c r="E56" s="9"/>
      <c r="F56" s="9"/>
      <c r="G56" s="9"/>
      <c r="H56" s="9"/>
      <c r="I56" s="9"/>
      <c r="J56" s="9"/>
      <c r="K56" s="9"/>
    </row>
    <row r="57" spans="1:11" x14ac:dyDescent="0.2">
      <c r="A57" s="8"/>
      <c r="B57" s="17"/>
      <c r="C57" s="17"/>
      <c r="D57" s="9"/>
      <c r="E57" s="9"/>
      <c r="F57" s="9"/>
      <c r="G57" s="9"/>
      <c r="H57" s="9"/>
      <c r="I57" s="9"/>
      <c r="J57" s="9"/>
      <c r="K57" s="9"/>
    </row>
    <row r="58" spans="1:11" ht="11.45" customHeight="1" x14ac:dyDescent="0.2">
      <c r="A58" s="8"/>
      <c r="B58" s="21" t="str">
        <f>IF(LEN(A56)&gt;1,"Der Restwertverlust ist:","")</f>
        <v/>
      </c>
      <c r="C58" s="17"/>
      <c r="D58" s="31" t="str">
        <f>IF(LEN(B58)&gt;1,IF(D43-D54&lt;0,"&lt; 0 %",D43-D54),"")</f>
        <v/>
      </c>
      <c r="E58" s="9"/>
      <c r="F58" s="9"/>
      <c r="G58" s="41" t="str">
        <f>IF(LEN(A56)&gt;1,Texte!A12,"")</f>
        <v/>
      </c>
      <c r="H58" s="41"/>
      <c r="I58" s="41"/>
      <c r="J58" s="41"/>
      <c r="K58" s="41"/>
    </row>
    <row r="59" spans="1:11" ht="11.45" customHeight="1" x14ac:dyDescent="0.2">
      <c r="A59" s="8"/>
      <c r="B59" s="21"/>
      <c r="C59" s="17"/>
      <c r="D59" s="31"/>
      <c r="E59" s="9"/>
      <c r="F59" s="9"/>
      <c r="G59" s="41"/>
      <c r="H59" s="41"/>
      <c r="I59" s="41"/>
      <c r="J59" s="41"/>
      <c r="K59" s="41"/>
    </row>
    <row r="60" spans="1:11" x14ac:dyDescent="0.2">
      <c r="A60" s="13"/>
      <c r="B60" s="43" t="str">
        <f>IF(D49="Ja","Die Auswirkungen im Fall eines Schadens wären gross.",IF(D49="Nein",IF(OR(D50="",D51="",D52="",D53=""),"",IF(D54-D43&gt;0,"Die Auswirkungen im Fall eines Schadens wären grösser als der Restwertverlust.","Die Auswirkungen im Fall eines Schadens wären kleiner als der Restwertverlust.")),""))</f>
        <v/>
      </c>
      <c r="C60" s="43"/>
      <c r="D60" s="43"/>
      <c r="E60" s="43"/>
      <c r="F60" s="9"/>
      <c r="G60" s="41"/>
      <c r="H60" s="41"/>
      <c r="I60" s="41"/>
      <c r="J60" s="41"/>
      <c r="K60" s="41"/>
    </row>
    <row r="61" spans="1:11" x14ac:dyDescent="0.2">
      <c r="A61" s="13"/>
      <c r="B61" s="17"/>
      <c r="C61" s="17"/>
      <c r="D61" s="9"/>
      <c r="E61" s="9"/>
      <c r="F61" s="9"/>
      <c r="G61" s="9"/>
      <c r="H61" s="9"/>
      <c r="I61" s="9"/>
      <c r="J61" s="9"/>
      <c r="K61" s="9"/>
    </row>
    <row r="62" spans="1:11" x14ac:dyDescent="0.2">
      <c r="A62" s="37" t="str">
        <f>IF(LEN(B60)&gt;1,IF(IFERROR(FIND(" gr",B60),1)&gt;1,"Bauen Sie mit!","Warten Sie und bauen nicht mit!"),"")</f>
        <v/>
      </c>
      <c r="B62" s="37"/>
      <c r="C62" s="37"/>
      <c r="D62" s="37"/>
      <c r="E62" s="37"/>
      <c r="F62" s="9"/>
      <c r="G62" s="9"/>
      <c r="H62" s="9"/>
      <c r="I62" s="9"/>
      <c r="J62" s="9"/>
      <c r="K62" s="9"/>
    </row>
  </sheetData>
  <sheetProtection sheet="1" objects="1" scenarios="1" selectLockedCells="1"/>
  <mergeCells count="21">
    <mergeCell ref="A23:E23"/>
    <mergeCell ref="A37:E37"/>
    <mergeCell ref="G14:J22"/>
    <mergeCell ref="G23:I35"/>
    <mergeCell ref="G36:J41"/>
    <mergeCell ref="A62:E62"/>
    <mergeCell ref="H1:K1"/>
    <mergeCell ref="H2:K2"/>
    <mergeCell ref="H3:K3"/>
    <mergeCell ref="G8:K11"/>
    <mergeCell ref="G48:K51"/>
    <mergeCell ref="B13:E13"/>
    <mergeCell ref="B21:E21"/>
    <mergeCell ref="B35:E35"/>
    <mergeCell ref="B60:E60"/>
    <mergeCell ref="B45:E45"/>
    <mergeCell ref="B25:D25"/>
    <mergeCell ref="G58:K60"/>
    <mergeCell ref="G43:J45"/>
    <mergeCell ref="A47:E47"/>
    <mergeCell ref="A15:E15"/>
  </mergeCells>
  <conditionalFormatting sqref="D17:D19 D39:D42">
    <cfRule type="expression" dxfId="43" priority="55">
      <formula>LEN($B17)&gt;1</formula>
    </cfRule>
  </conditionalFormatting>
  <conditionalFormatting sqref="D27">
    <cfRule type="expression" dxfId="42" priority="53">
      <formula>LEN($B27)&gt;1</formula>
    </cfRule>
  </conditionalFormatting>
  <conditionalFormatting sqref="D28">
    <cfRule type="expression" dxfId="41" priority="52">
      <formula>LEFT($A28,3)="Mat"</formula>
    </cfRule>
  </conditionalFormatting>
  <conditionalFormatting sqref="D30">
    <cfRule type="expression" dxfId="40" priority="51">
      <formula>$A30="Schadensrate"</formula>
    </cfRule>
  </conditionalFormatting>
  <conditionalFormatting sqref="D53">
    <cfRule type="expression" dxfId="39" priority="48">
      <formula>LEN($B53)&gt;1</formula>
    </cfRule>
  </conditionalFormatting>
  <conditionalFormatting sqref="A15">
    <cfRule type="containsText" dxfId="38" priority="46" operator="containsText" text="Bauen Sie mit!">
      <formula>NOT(ISERROR(SEARCH("Bauen Sie mit!",A15)))</formula>
    </cfRule>
  </conditionalFormatting>
  <conditionalFormatting sqref="A47 A23">
    <cfRule type="containsText" dxfId="37" priority="45" operator="containsText" text="Bauen Sie mit!">
      <formula>NOT(ISERROR(SEARCH("Bauen Sie mit!",A23)))</formula>
    </cfRule>
  </conditionalFormatting>
  <conditionalFormatting sqref="A37 A62">
    <cfRule type="containsText" dxfId="36" priority="43" operator="containsText" text="Warten Sie und bauen nicht mit!">
      <formula>NOT(ISERROR(SEARCH("Warten Sie und bauen nicht mit!",A37)))</formula>
    </cfRule>
    <cfRule type="containsText" dxfId="35" priority="44" operator="containsText" text="Bauen Sie mit!">
      <formula>NOT(ISERROR(SEARCH("Bauen Sie mit!",A37)))</formula>
    </cfRule>
  </conditionalFormatting>
  <conditionalFormatting sqref="A16:E16">
    <cfRule type="expression" dxfId="34" priority="37">
      <formula>LEN($A$16)&gt;1</formula>
    </cfRule>
  </conditionalFormatting>
  <conditionalFormatting sqref="A24:E24">
    <cfRule type="expression" dxfId="33" priority="36">
      <formula>LEN($A$24)&gt;1</formula>
    </cfRule>
  </conditionalFormatting>
  <conditionalFormatting sqref="A25:B25">
    <cfRule type="expression" dxfId="32" priority="54">
      <formula>LEN($A$24)&gt;1</formula>
    </cfRule>
  </conditionalFormatting>
  <conditionalFormatting sqref="A38:E38">
    <cfRule type="expression" dxfId="31" priority="34">
      <formula>LEN($A$38)&gt;1</formula>
    </cfRule>
  </conditionalFormatting>
  <conditionalFormatting sqref="A48:E48">
    <cfRule type="expression" dxfId="30" priority="33">
      <formula>LEN($A$48)&gt;1</formula>
    </cfRule>
  </conditionalFormatting>
  <conditionalFormatting sqref="A61:D61">
    <cfRule type="expression" dxfId="29" priority="32">
      <formula>LEN($A$61)&gt;1</formula>
    </cfRule>
  </conditionalFormatting>
  <conditionalFormatting sqref="D29">
    <cfRule type="expression" dxfId="28" priority="7">
      <formula>LEN($B29)&gt;1</formula>
    </cfRule>
  </conditionalFormatting>
  <conditionalFormatting sqref="D49">
    <cfRule type="expression" dxfId="27" priority="30">
      <formula>LEN($B49)&gt;1</formula>
    </cfRule>
  </conditionalFormatting>
  <conditionalFormatting sqref="D50">
    <cfRule type="expression" dxfId="26" priority="29">
      <formula>LEN($B50)&gt;1</formula>
    </cfRule>
  </conditionalFormatting>
  <conditionalFormatting sqref="D51">
    <cfRule type="expression" dxfId="25" priority="28">
      <formula>LEN($B51)&gt;1</formula>
    </cfRule>
  </conditionalFormatting>
  <conditionalFormatting sqref="D52">
    <cfRule type="expression" dxfId="24" priority="27">
      <formula>LEN($B52)&gt;1</formula>
    </cfRule>
  </conditionalFormatting>
  <conditionalFormatting sqref="D26">
    <cfRule type="expression" dxfId="23" priority="6">
      <formula>LEN($B$25)=99</formula>
    </cfRule>
    <cfRule type="expression" dxfId="22" priority="26">
      <formula>LEN($B26)&gt;1</formula>
    </cfRule>
  </conditionalFormatting>
  <conditionalFormatting sqref="D10">
    <cfRule type="expression" dxfId="21" priority="25">
      <formula>LEN($B$10)&gt;1</formula>
    </cfRule>
  </conditionalFormatting>
  <conditionalFormatting sqref="D11">
    <cfRule type="expression" dxfId="20" priority="24">
      <formula>LEN($B$11)&gt;1</formula>
    </cfRule>
  </conditionalFormatting>
  <conditionalFormatting sqref="A8:C9 D8 E8:E9">
    <cfRule type="expression" dxfId="19" priority="22">
      <formula>LEN($A$6)&gt;1</formula>
    </cfRule>
  </conditionalFormatting>
  <conditionalFormatting sqref="A16:C17 D16 E16:E17">
    <cfRule type="expression" dxfId="18" priority="21">
      <formula>LEN($A$14)&gt;1</formula>
    </cfRule>
  </conditionalFormatting>
  <conditionalFormatting sqref="A38:C39 D38:E38 E39">
    <cfRule type="expression" dxfId="17" priority="19">
      <formula>LEN($A$36)&gt;1</formula>
    </cfRule>
  </conditionalFormatting>
  <conditionalFormatting sqref="A43:E43">
    <cfRule type="expression" dxfId="16" priority="18">
      <formula>LEN($A$41)&gt;1</formula>
    </cfRule>
  </conditionalFormatting>
  <conditionalFormatting sqref="A48:C49 D48:E48 E49">
    <cfRule type="expression" dxfId="15" priority="17">
      <formula>LEN($A$46)&gt;1</formula>
    </cfRule>
  </conditionalFormatting>
  <conditionalFormatting sqref="A58:E58">
    <cfRule type="expression" dxfId="14" priority="16">
      <formula>LEN($A$56)&gt;1</formula>
    </cfRule>
  </conditionalFormatting>
  <conditionalFormatting sqref="A50:C54 D54 E50:E54">
    <cfRule type="expression" dxfId="13" priority="14">
      <formula>LEN($B$50)&gt;1</formula>
    </cfRule>
  </conditionalFormatting>
  <conditionalFormatting sqref="E8">
    <cfRule type="expression" dxfId="12" priority="13">
      <formula>LEN($A$6)&gt;1</formula>
    </cfRule>
  </conditionalFormatting>
  <conditionalFormatting sqref="A10:C10 E10">
    <cfRule type="expression" dxfId="11" priority="12">
      <formula>LEN($B$10)&gt;1</formula>
    </cfRule>
  </conditionalFormatting>
  <conditionalFormatting sqref="A11:C11 E11">
    <cfRule type="expression" dxfId="10" priority="11">
      <formula>LEN($B$11)&gt;1</formula>
    </cfRule>
  </conditionalFormatting>
  <conditionalFormatting sqref="A18:C18 E18">
    <cfRule type="expression" dxfId="9" priority="10">
      <formula>LEN($B$18)&gt;1</formula>
    </cfRule>
  </conditionalFormatting>
  <conditionalFormatting sqref="A24:E24 E25">
    <cfRule type="expression" dxfId="8" priority="20">
      <formula>LEN($A$22)&gt;1</formula>
    </cfRule>
  </conditionalFormatting>
  <conditionalFormatting sqref="A26:C33 E26:E33 D31:D33 D29">
    <cfRule type="expression" dxfId="7" priority="31">
      <formula>LEN($B$25)&gt;1</formula>
    </cfRule>
  </conditionalFormatting>
  <conditionalFormatting sqref="D28:D30">
    <cfRule type="expression" dxfId="6" priority="9">
      <formula>LEN($B$25)=56</formula>
    </cfRule>
  </conditionalFormatting>
  <conditionalFormatting sqref="D26 D28:D30">
    <cfRule type="expression" dxfId="5" priority="8">
      <formula>LEN($B$25)=64</formula>
    </cfRule>
  </conditionalFormatting>
  <conditionalFormatting sqref="A34:E34">
    <cfRule type="expression" dxfId="4" priority="5">
      <formula>LEN($B$34)&gt;1</formula>
    </cfRule>
  </conditionalFormatting>
  <conditionalFormatting sqref="A19:C19 E19">
    <cfRule type="expression" dxfId="3" priority="4">
      <formula>LEN($B$19)&gt;1</formula>
    </cfRule>
  </conditionalFormatting>
  <conditionalFormatting sqref="B32">
    <cfRule type="containsText" dxfId="2" priority="1" operator="containsText" text="Bitte Ausführungsjahr im Dokumentkopf oder Baujahr überprüfen">
      <formula>NOT(ISERROR(SEARCH("Bitte Ausführungsjahr im Dokumentkopf oder Baujahr überprüfen",B32)))</formula>
    </cfRule>
  </conditionalFormatting>
  <dataValidations count="6">
    <dataValidation type="list" allowBlank="1" showInputMessage="1" showErrorMessage="1" sqref="D49:D53 D17:D18 D19" xr:uid="{00000000-0002-0000-0000-000000000000}">
      <formula1>JaNein</formula1>
    </dataValidation>
    <dataValidation type="list" allowBlank="1" showInputMessage="1" showErrorMessage="1" sqref="D28" xr:uid="{00000000-0002-0000-0000-000001000000}">
      <formula1>INDIRECT($A$28)</formula1>
    </dataValidation>
    <dataValidation type="list" allowBlank="1" showInputMessage="1" sqref="D10:D11 D9" xr:uid="{00000000-0002-0000-0000-000002000000}">
      <formula1>JaNein</formula1>
    </dataValidation>
    <dataValidation type="list" allowBlank="1" showInputMessage="1" showErrorMessage="1" sqref="B25" xr:uid="{00000000-0002-0000-0000-000003000000}">
      <formula1>INDIRECT($A$22)</formula1>
    </dataValidation>
    <dataValidation type="list" allowBlank="1" showInputMessage="1" showErrorMessage="1" sqref="D30" xr:uid="{00000000-0002-0000-0000-000004000000}">
      <formula1>INDIRECT($A$30)</formula1>
    </dataValidation>
    <dataValidation type="list" allowBlank="1" showInputMessage="1" showErrorMessage="1" sqref="D29" xr:uid="{00000000-0002-0000-0000-000005000000}">
      <formula1>INDIRECT($A$29)</formula1>
    </dataValidation>
  </dataValidations>
  <pageMargins left="0.98425196850393704" right="0.51181102362204722" top="0.98425196850393704" bottom="0.98425196850393704" header="0.35433070866141736" footer="0.39370078740157483"/>
  <pageSetup paperSize="8" orientation="landscape" r:id="rId1"/>
  <headerFooter scaleWithDoc="0">
    <oddHeader>&amp;L&amp;G</oddHeader>
    <oddFooter>&amp;L&amp;8&amp;K76557Adeveloped by WIF Partner AG, Zürich, info@wifpartner.ch&amp;C&amp;8&amp;K76557A&amp;F&amp;R&amp;8&amp;K76557A 16.06.2019</oddFooter>
    <firstFooter>&amp;R&amp;5&amp;F</firstFooter>
  </headerFooter>
  <ignoredErrors>
    <ignoredError sqref="A28" formula="1"/>
  </ignoredErrors>
  <drawing r:id="rId2"/>
  <legacyDrawing r:id="rId3"/>
  <legacyDrawingHF r:id="rId4"/>
  <extLst>
    <ext xmlns:x14="http://schemas.microsoft.com/office/spreadsheetml/2009/9/main" uri="{78C0D931-6437-407d-A8EE-F0AAD7539E65}">
      <x14:conditionalFormattings>
        <x14:conditionalFormatting xmlns:xm="http://schemas.microsoft.com/office/excel/2006/main">
          <x14:cfRule type="expression" priority="47" id="{02BA2815-7238-451C-BCF9-F523D306A957}">
            <xm:f>$A$61=Auswirkungen!$A$19</xm:f>
            <x14:dxf>
              <fill>
                <patternFill>
                  <bgColor theme="9"/>
                </patternFill>
              </fill>
            </x14:dxf>
          </x14:cfRule>
          <xm:sqref>D61</xm:sqref>
        </x14:conditionalFormatting>
        <x14:conditionalFormatting xmlns:xm="http://schemas.microsoft.com/office/excel/2006/main">
          <x14:cfRule type="containsText" priority="2" operator="containsText" id="{A3F4F0E9-3BA3-4B15-A309-A7F7C13E24A3}">
            <xm:f>NOT(ISERROR(SEARCH("Bitte Ausführungsjahr im Dokumentkopf eingeben",B32)))</xm:f>
            <xm:f>"Bitte Ausführungsjahr im Dokumentkopf eingeben"</xm:f>
            <x14:dxf>
              <font>
                <color rgb="FF9C0006"/>
              </font>
              <fill>
                <patternFill>
                  <bgColor rgb="FFFFC7CE"/>
                </patternFill>
              </fill>
            </x14:dxf>
          </x14:cfRule>
          <xm:sqref>B32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workbookViewId="0">
      <selection activeCell="A13" sqref="A13"/>
    </sheetView>
  </sheetViews>
  <sheetFormatPr baseColWidth="10" defaultRowHeight="12" x14ac:dyDescent="0.2"/>
  <cols>
    <col min="1" max="1" width="141.7109375" customWidth="1"/>
  </cols>
  <sheetData>
    <row r="1" spans="1:2" ht="60" x14ac:dyDescent="0.2">
      <c r="A1" s="2" t="s">
        <v>83</v>
      </c>
    </row>
    <row r="3" spans="1:2" ht="36" x14ac:dyDescent="0.2">
      <c r="A3" s="2" t="s">
        <v>76</v>
      </c>
    </row>
    <row r="4" spans="1:2" ht="48" x14ac:dyDescent="0.2">
      <c r="A4" s="2" t="s">
        <v>77</v>
      </c>
    </row>
    <row r="6" spans="1:2" ht="48" x14ac:dyDescent="0.2">
      <c r="A6" s="2" t="s">
        <v>74</v>
      </c>
      <c r="B6" s="2"/>
    </row>
    <row r="7" spans="1:2" x14ac:dyDescent="0.2">
      <c r="A7" s="2"/>
      <c r="B7" s="2"/>
    </row>
    <row r="8" spans="1:2" ht="24" x14ac:dyDescent="0.2">
      <c r="A8" s="2" t="s">
        <v>86</v>
      </c>
      <c r="B8" s="2"/>
    </row>
    <row r="9" spans="1:2" x14ac:dyDescent="0.2">
      <c r="A9" s="2"/>
      <c r="B9" s="2"/>
    </row>
    <row r="10" spans="1:2" ht="24" x14ac:dyDescent="0.2">
      <c r="A10" s="2" t="s">
        <v>78</v>
      </c>
      <c r="B10" s="2"/>
    </row>
    <row r="11" spans="1:2" x14ac:dyDescent="0.2">
      <c r="A11" s="2"/>
      <c r="B11" s="2"/>
    </row>
    <row r="12" spans="1:2" ht="24" x14ac:dyDescent="0.2">
      <c r="A12" s="2" t="s">
        <v>87</v>
      </c>
      <c r="B12" s="2"/>
    </row>
    <row r="13" spans="1:2" x14ac:dyDescent="0.2">
      <c r="A13" s="2"/>
      <c r="B13" s="2"/>
    </row>
    <row r="14" spans="1:2" x14ac:dyDescent="0.2">
      <c r="A14" s="2"/>
      <c r="B14" s="2"/>
    </row>
    <row r="15" spans="1:2" x14ac:dyDescent="0.2">
      <c r="A15" s="2"/>
      <c r="B15" s="2"/>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
  <sheetViews>
    <sheetView showGridLines="0" workbookViewId="0">
      <selection activeCell="A8" sqref="A8"/>
    </sheetView>
  </sheetViews>
  <sheetFormatPr baseColWidth="10" defaultRowHeight="12" x14ac:dyDescent="0.2"/>
  <cols>
    <col min="1" max="1" width="20.7109375" customWidth="1"/>
  </cols>
  <sheetData>
    <row r="1" spans="2:2" ht="112.9" customHeight="1" x14ac:dyDescent="0.2">
      <c r="B1" t="s">
        <v>70</v>
      </c>
    </row>
  </sheetData>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B22"/>
  <sheetViews>
    <sheetView view="pageLayout" zoomScaleNormal="100" workbookViewId="0">
      <selection activeCell="A8" sqref="A8"/>
    </sheetView>
  </sheetViews>
  <sheetFormatPr baseColWidth="10" defaultRowHeight="12" x14ac:dyDescent="0.2"/>
  <cols>
    <col min="1" max="1" width="17.5703125" customWidth="1"/>
  </cols>
  <sheetData>
    <row r="1" spans="1:2" ht="15" x14ac:dyDescent="0.2">
      <c r="A1" s="1" t="s">
        <v>0</v>
      </c>
    </row>
    <row r="4" spans="1:2" x14ac:dyDescent="0.2">
      <c r="A4" t="s">
        <v>1</v>
      </c>
    </row>
    <row r="7" spans="1:2" x14ac:dyDescent="0.2">
      <c r="A7" t="s">
        <v>42</v>
      </c>
    </row>
    <row r="9" spans="1:2" ht="36" x14ac:dyDescent="0.2">
      <c r="A9" s="2" t="s">
        <v>4</v>
      </c>
    </row>
    <row r="10" spans="1:2" x14ac:dyDescent="0.2">
      <c r="B10" t="s">
        <v>68</v>
      </c>
    </row>
    <row r="11" spans="1:2" x14ac:dyDescent="0.2">
      <c r="B11" t="s">
        <v>67</v>
      </c>
    </row>
    <row r="12" spans="1:2" x14ac:dyDescent="0.2">
      <c r="B12" t="s">
        <v>72</v>
      </c>
    </row>
    <row r="20" spans="1:1" x14ac:dyDescent="0.2">
      <c r="A20" t="s">
        <v>27</v>
      </c>
    </row>
    <row r="21" spans="1:1" x14ac:dyDescent="0.2">
      <c r="A21" t="s">
        <v>5</v>
      </c>
    </row>
    <row r="22" spans="1:1" x14ac:dyDescent="0.2">
      <c r="A22" t="s">
        <v>26</v>
      </c>
    </row>
  </sheetData>
  <pageMargins left="0.98425196850393704" right="0.51181102362204722" top="1.3779527559055118" bottom="1.3779527559055118" header="0.51181102362204722" footer="0.39370078740157483"/>
  <pageSetup paperSize="9" orientation="portrait" r:id="rId1"/>
  <headerFooter differentFirst="1" scaleWithDoc="0">
    <oddHeader>&amp;R&amp;G</oddHeader>
    <oddFooter xml:space="preserve">&amp;L&amp;7Seite &amp;P / &amp;N&amp;R&amp;7
</oddFooter>
    <firstHeader>&amp;R&amp;G</firstHeader>
    <firstFooter>&amp;L&amp;G&amp;R&amp;5&amp;F</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dimension ref="A1:B23"/>
  <sheetViews>
    <sheetView view="pageLayout" topLeftCell="A4" zoomScaleNormal="100" workbookViewId="0">
      <selection activeCell="B11" sqref="B11"/>
    </sheetView>
  </sheetViews>
  <sheetFormatPr baseColWidth="10" defaultRowHeight="12" x14ac:dyDescent="0.2"/>
  <cols>
    <col min="2" max="2" width="76.7109375" customWidth="1"/>
  </cols>
  <sheetData>
    <row r="1" spans="1:2" ht="15" x14ac:dyDescent="0.2">
      <c r="A1" s="1" t="s">
        <v>0</v>
      </c>
    </row>
    <row r="4" spans="1:2" x14ac:dyDescent="0.2">
      <c r="A4" t="s">
        <v>1</v>
      </c>
    </row>
    <row r="9" spans="1:2" x14ac:dyDescent="0.2">
      <c r="A9" t="s">
        <v>28</v>
      </c>
    </row>
    <row r="10" spans="1:2" x14ac:dyDescent="0.2">
      <c r="B10" t="s">
        <v>29</v>
      </c>
    </row>
    <row r="11" spans="1:2" x14ac:dyDescent="0.2">
      <c r="B11" t="s">
        <v>31</v>
      </c>
    </row>
    <row r="12" spans="1:2" x14ac:dyDescent="0.2">
      <c r="B12" t="s">
        <v>85</v>
      </c>
    </row>
    <row r="13" spans="1:2" ht="24" x14ac:dyDescent="0.2">
      <c r="B13" s="2" t="s">
        <v>84</v>
      </c>
    </row>
    <row r="15" spans="1:2" x14ac:dyDescent="0.2">
      <c r="A15" t="s">
        <v>30</v>
      </c>
    </row>
    <row r="18" spans="1:1" x14ac:dyDescent="0.2">
      <c r="A18" t="s">
        <v>45</v>
      </c>
    </row>
    <row r="19" spans="1:1" x14ac:dyDescent="0.2">
      <c r="A19" t="s">
        <v>46</v>
      </c>
    </row>
    <row r="20" spans="1:1" x14ac:dyDescent="0.2">
      <c r="A20" t="s">
        <v>47</v>
      </c>
    </row>
    <row r="21" spans="1:1" x14ac:dyDescent="0.2">
      <c r="A21" t="s">
        <v>48</v>
      </c>
    </row>
    <row r="23" spans="1:1" x14ac:dyDescent="0.2">
      <c r="A23" t="s">
        <v>62</v>
      </c>
    </row>
  </sheetData>
  <pageMargins left="0.98425196850393704" right="0.51181102362204722" top="1.3779527559055118" bottom="1.3779527559055118" header="0.51181102362204722" footer="0.39370078740157483"/>
  <pageSetup paperSize="9" orientation="portrait" r:id="rId1"/>
  <headerFooter differentFirst="1" scaleWithDoc="0">
    <oddHeader>&amp;R&amp;G</oddHeader>
    <oddFooter xml:space="preserve">&amp;L&amp;7Seite &amp;P / &amp;N&amp;R&amp;7
</oddFooter>
    <firstHeader>&amp;R&amp;G</firstHeader>
    <firstFooter>&amp;L&amp;G&amp;R&amp;5&amp;F</first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dimension ref="A1:C19"/>
  <sheetViews>
    <sheetView view="pageLayout" topLeftCell="A7" zoomScaleNormal="100" workbookViewId="0">
      <selection activeCell="A2" sqref="A2"/>
    </sheetView>
  </sheetViews>
  <sheetFormatPr baseColWidth="10" defaultRowHeight="12" x14ac:dyDescent="0.2"/>
  <cols>
    <col min="2" max="2" width="67.7109375" customWidth="1"/>
  </cols>
  <sheetData>
    <row r="1" spans="1:3" ht="15" x14ac:dyDescent="0.2">
      <c r="A1" s="1" t="s">
        <v>0</v>
      </c>
    </row>
    <row r="4" spans="1:3" x14ac:dyDescent="0.2">
      <c r="A4" t="s">
        <v>1</v>
      </c>
    </row>
    <row r="9" spans="1:3" x14ac:dyDescent="0.2">
      <c r="A9" t="s">
        <v>40</v>
      </c>
    </row>
    <row r="10" spans="1:3" x14ac:dyDescent="0.2">
      <c r="B10" t="s">
        <v>37</v>
      </c>
      <c r="C10" t="s">
        <v>38</v>
      </c>
    </row>
    <row r="11" spans="1:3" x14ac:dyDescent="0.2">
      <c r="B11" t="s">
        <v>32</v>
      </c>
      <c r="C11" s="5">
        <v>0.05</v>
      </c>
    </row>
    <row r="12" spans="1:3" x14ac:dyDescent="0.2">
      <c r="B12" t="s">
        <v>33</v>
      </c>
      <c r="C12" s="5">
        <v>0.1</v>
      </c>
    </row>
    <row r="13" spans="1:3" x14ac:dyDescent="0.2">
      <c r="B13" s="2" t="s">
        <v>34</v>
      </c>
      <c r="C13" s="5">
        <v>0.15</v>
      </c>
    </row>
    <row r="14" spans="1:3" x14ac:dyDescent="0.2">
      <c r="B14" t="s">
        <v>35</v>
      </c>
      <c r="C14" s="5">
        <v>0.2</v>
      </c>
    </row>
    <row r="15" spans="1:3" x14ac:dyDescent="0.2">
      <c r="B15" t="s">
        <v>36</v>
      </c>
      <c r="C15" s="5">
        <v>0.3</v>
      </c>
    </row>
    <row r="16" spans="1:3" x14ac:dyDescent="0.2">
      <c r="C16" s="5"/>
    </row>
    <row r="17" spans="1:1" x14ac:dyDescent="0.2">
      <c r="A17" t="s">
        <v>39</v>
      </c>
    </row>
    <row r="19" spans="1:1" x14ac:dyDescent="0.2">
      <c r="A19" t="str">
        <f>IF(A17=Entscheidungsbaum!A36,"Synergiegewinn","")</f>
        <v/>
      </c>
    </row>
  </sheetData>
  <pageMargins left="0.98425196850393704" right="0.51181102362204722" top="1.3779527559055118" bottom="1.3779527559055118" header="0.51181102362204722" footer="0.39370078740157483"/>
  <pageSetup paperSize="9" orientation="portrait" r:id="rId1"/>
  <headerFooter differentFirst="1" scaleWithDoc="0">
    <oddHeader>&amp;R&amp;G</oddHeader>
    <oddFooter xml:space="preserve">&amp;L&amp;7Seite &amp;P / &amp;N&amp;R&amp;7
</oddFooter>
    <firstHeader>&amp;R&amp;G</firstHeader>
    <firstFooter>&amp;L&amp;G&amp;R&amp;5&amp;F</first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B26"/>
  <sheetViews>
    <sheetView view="pageLayout" zoomScaleNormal="100" workbookViewId="0">
      <selection activeCell="A8" sqref="A8"/>
    </sheetView>
  </sheetViews>
  <sheetFormatPr baseColWidth="10" defaultRowHeight="12" x14ac:dyDescent="0.2"/>
  <sheetData>
    <row r="1" spans="1:2" ht="15" x14ac:dyDescent="0.2">
      <c r="A1" s="1" t="s">
        <v>0</v>
      </c>
    </row>
    <row r="4" spans="1:2" x14ac:dyDescent="0.2">
      <c r="A4" t="s">
        <v>1</v>
      </c>
    </row>
    <row r="9" spans="1:2" x14ac:dyDescent="0.2">
      <c r="A9" t="s">
        <v>21</v>
      </c>
    </row>
    <row r="10" spans="1:2" x14ac:dyDescent="0.2">
      <c r="B10" t="s">
        <v>73</v>
      </c>
    </row>
    <row r="11" spans="1:2" x14ac:dyDescent="0.2">
      <c r="B11" t="s">
        <v>22</v>
      </c>
    </row>
    <row r="12" spans="1:2" x14ac:dyDescent="0.2">
      <c r="B12" t="s">
        <v>23</v>
      </c>
    </row>
    <row r="13" spans="1:2" x14ac:dyDescent="0.2">
      <c r="B13" t="s">
        <v>24</v>
      </c>
    </row>
    <row r="14" spans="1:2" x14ac:dyDescent="0.2">
      <c r="B14" t="s">
        <v>66</v>
      </c>
    </row>
    <row r="16" spans="1:2" x14ac:dyDescent="0.2">
      <c r="A16" t="s">
        <v>69</v>
      </c>
    </row>
    <row r="19" spans="1:2" x14ac:dyDescent="0.2">
      <c r="A19" t="s">
        <v>43</v>
      </c>
    </row>
    <row r="26" spans="1:2" x14ac:dyDescent="0.2">
      <c r="B26" t="s">
        <v>22</v>
      </c>
    </row>
  </sheetData>
  <pageMargins left="0.98425196850393704" right="0.51181102362204722" top="1.3779527559055118" bottom="1.3779527559055118" header="0.51181102362204722" footer="0.39370078740157483"/>
  <pageSetup paperSize="9" orientation="portrait" r:id="rId1"/>
  <headerFooter differentFirst="1" scaleWithDoc="0">
    <oddHeader>&amp;R&amp;G</oddHeader>
    <oddFooter xml:space="preserve">&amp;L&amp;7Seite &amp;P / &amp;N&amp;R&amp;7
</oddFooter>
    <firstHeader>&amp;R&amp;G</firstHeader>
    <firstFooter>&amp;L&amp;G&amp;R&amp;5&amp;F</first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dimension ref="B1:U34"/>
  <sheetViews>
    <sheetView zoomScaleNormal="100" workbookViewId="0">
      <selection activeCell="A8" sqref="A8"/>
    </sheetView>
  </sheetViews>
  <sheetFormatPr baseColWidth="10" defaultColWidth="11" defaultRowHeight="12" x14ac:dyDescent="0.2"/>
  <cols>
    <col min="1" max="1" width="11" style="4"/>
    <col min="2" max="3" width="17.5703125" style="4" customWidth="1"/>
    <col min="4" max="5" width="14.5703125" style="4" bestFit="1" customWidth="1"/>
    <col min="6" max="6" width="14.5703125" style="4" customWidth="1"/>
    <col min="7" max="8" width="14.5703125" style="4" bestFit="1" customWidth="1"/>
    <col min="9" max="9" width="14.5703125" style="4" customWidth="1"/>
    <col min="10" max="11" width="15.140625" style="4" bestFit="1" customWidth="1"/>
    <col min="12" max="12" width="15.140625" style="4" customWidth="1"/>
    <col min="13" max="14" width="15.140625" style="4" bestFit="1" customWidth="1"/>
    <col min="15" max="18" width="15.140625" style="4" customWidth="1"/>
    <col min="19" max="20" width="14.140625" style="4" bestFit="1" customWidth="1"/>
    <col min="21" max="16384" width="11" style="4"/>
  </cols>
  <sheetData>
    <row r="1" spans="2:21" x14ac:dyDescent="0.2">
      <c r="B1" s="4" t="s">
        <v>6</v>
      </c>
      <c r="C1" s="4" t="s">
        <v>7</v>
      </c>
      <c r="D1" s="4" t="s">
        <v>7</v>
      </c>
      <c r="E1" s="4" t="s">
        <v>7</v>
      </c>
      <c r="F1" s="4" t="s">
        <v>8</v>
      </c>
      <c r="G1" s="4" t="s">
        <v>8</v>
      </c>
      <c r="H1" s="4" t="s">
        <v>8</v>
      </c>
      <c r="I1" s="4" t="s">
        <v>9</v>
      </c>
      <c r="J1" s="4" t="s">
        <v>9</v>
      </c>
      <c r="K1" s="4" t="s">
        <v>9</v>
      </c>
      <c r="L1" s="4" t="s">
        <v>10</v>
      </c>
      <c r="M1" s="4" t="s">
        <v>10</v>
      </c>
      <c r="N1" s="4" t="s">
        <v>10</v>
      </c>
      <c r="O1" s="4" t="s">
        <v>49</v>
      </c>
      <c r="P1" s="4" t="s">
        <v>49</v>
      </c>
      <c r="Q1" s="4" t="s">
        <v>49</v>
      </c>
      <c r="R1" s="4" t="s">
        <v>50</v>
      </c>
      <c r="S1" s="4" t="s">
        <v>51</v>
      </c>
      <c r="T1" s="4" t="s">
        <v>11</v>
      </c>
    </row>
    <row r="2" spans="2:21" x14ac:dyDescent="0.2">
      <c r="C2" s="4" t="str">
        <f>+CONCATENATE(C1,C5)</f>
        <v>GGL 1.Gen&lt;150</v>
      </c>
      <c r="D2" s="4" t="str">
        <f>+CONCATENATE(D1,D5)</f>
        <v>GGL 1.Gen150-299</v>
      </c>
      <c r="E2" s="4" t="str">
        <f t="shared" ref="E2:T2" si="0">+CONCATENATE(E1,E5)</f>
        <v>GGL 1.Gen&gt;=300</v>
      </c>
      <c r="F2" s="4" t="str">
        <f t="shared" ref="F2" si="1">+CONCATENATE(F1,F5)</f>
        <v>GGL 2.Gen&lt;150</v>
      </c>
      <c r="G2" s="4" t="str">
        <f t="shared" si="0"/>
        <v>GGL 2.Gen150-299</v>
      </c>
      <c r="H2" s="4" t="str">
        <f t="shared" si="0"/>
        <v>GGL 2.Gen&gt;=300</v>
      </c>
      <c r="I2" s="4" t="str">
        <f t="shared" ref="I2" si="2">+CONCATENATE(I1,I5)</f>
        <v>GGG 1.Gen&lt;150</v>
      </c>
      <c r="J2" s="4" t="str">
        <f t="shared" si="0"/>
        <v>GGG 1.Gen150-299</v>
      </c>
      <c r="K2" s="4" t="str">
        <f t="shared" si="0"/>
        <v>GGG 1.Gen&gt;=300</v>
      </c>
      <c r="L2" s="4" t="str">
        <f t="shared" ref="L2" si="3">+CONCATENATE(L1,L5)</f>
        <v>GGG 2.Gen&lt;150</v>
      </c>
      <c r="M2" s="4" t="str">
        <f t="shared" si="0"/>
        <v>GGG 2.Gen150-299</v>
      </c>
      <c r="N2" s="4" t="str">
        <f t="shared" si="0"/>
        <v>GGG 2.Gen&gt;=300</v>
      </c>
      <c r="O2" s="4" t="str">
        <f>+CONCATENATE(O1,O5)</f>
        <v>GGG 3.Gen&lt;150</v>
      </c>
      <c r="P2" s="4" t="str">
        <f t="shared" ref="P2:Q2" si="4">+CONCATENATE(P1,P5)</f>
        <v>GGG 3.Gen150-299</v>
      </c>
      <c r="Q2" s="4" t="str">
        <f t="shared" si="4"/>
        <v>GGG 3.Gen&gt;=300</v>
      </c>
      <c r="R2" s="4" t="str">
        <f t="shared" si="0"/>
        <v>Stahl ungeschützt</v>
      </c>
      <c r="S2" s="4" t="str">
        <f t="shared" ref="S2" si="5">+CONCATENATE(S1,S5)</f>
        <v>Stahl geschützt</v>
      </c>
      <c r="T2" s="4" t="str">
        <f t="shared" si="0"/>
        <v>PE</v>
      </c>
    </row>
    <row r="3" spans="2:21" x14ac:dyDescent="0.2">
      <c r="B3" s="4" t="s">
        <v>12</v>
      </c>
      <c r="C3" s="4">
        <v>1890</v>
      </c>
      <c r="D3" s="4">
        <v>1890</v>
      </c>
      <c r="E3" s="4">
        <v>1890</v>
      </c>
      <c r="F3" s="4">
        <v>1946</v>
      </c>
      <c r="G3" s="4">
        <v>1946</v>
      </c>
      <c r="H3" s="4">
        <v>1946</v>
      </c>
      <c r="I3" s="4">
        <v>1966</v>
      </c>
      <c r="J3" s="4">
        <v>1966</v>
      </c>
      <c r="K3" s="4">
        <v>1966</v>
      </c>
      <c r="L3" s="4">
        <v>1981</v>
      </c>
      <c r="M3" s="4">
        <v>1981</v>
      </c>
      <c r="N3" s="4">
        <v>1981</v>
      </c>
      <c r="O3" s="4">
        <v>1991</v>
      </c>
      <c r="P3" s="4">
        <v>1991</v>
      </c>
      <c r="Q3" s="4">
        <v>1991</v>
      </c>
      <c r="R3" s="4">
        <v>1820</v>
      </c>
      <c r="S3" s="4">
        <v>1820</v>
      </c>
      <c r="T3" s="4">
        <v>1973</v>
      </c>
    </row>
    <row r="4" spans="2:21" x14ac:dyDescent="0.2">
      <c r="B4" s="4" t="s">
        <v>13</v>
      </c>
      <c r="C4" s="4">
        <v>1945</v>
      </c>
      <c r="D4" s="4">
        <v>1945</v>
      </c>
      <c r="E4" s="4">
        <v>1945</v>
      </c>
      <c r="F4" s="4">
        <v>1965</v>
      </c>
      <c r="G4" s="4">
        <v>1965</v>
      </c>
      <c r="H4" s="4">
        <v>1965</v>
      </c>
      <c r="I4" s="4">
        <v>1980</v>
      </c>
      <c r="J4" s="4">
        <v>1980</v>
      </c>
      <c r="K4" s="4">
        <v>1980</v>
      </c>
      <c r="L4" s="4">
        <v>1990</v>
      </c>
      <c r="M4" s="4">
        <v>1990</v>
      </c>
      <c r="N4" s="4">
        <v>1990</v>
      </c>
    </row>
    <row r="5" spans="2:21" x14ac:dyDescent="0.2">
      <c r="B5" s="4" t="s">
        <v>14</v>
      </c>
      <c r="C5" s="4" t="s">
        <v>46</v>
      </c>
      <c r="D5" s="4" t="s">
        <v>47</v>
      </c>
      <c r="E5" s="4" t="s">
        <v>48</v>
      </c>
      <c r="F5" s="4" t="s">
        <v>46</v>
      </c>
      <c r="G5" s="4" t="s">
        <v>47</v>
      </c>
      <c r="H5" s="4" t="s">
        <v>48</v>
      </c>
      <c r="I5" s="4" t="s">
        <v>46</v>
      </c>
      <c r="J5" s="4" t="s">
        <v>47</v>
      </c>
      <c r="K5" s="4" t="s">
        <v>48</v>
      </c>
      <c r="L5" s="4" t="s">
        <v>46</v>
      </c>
      <c r="M5" s="4" t="s">
        <v>47</v>
      </c>
      <c r="N5" s="4" t="s">
        <v>48</v>
      </c>
      <c r="O5" s="4" t="s">
        <v>46</v>
      </c>
      <c r="P5" s="4" t="s">
        <v>47</v>
      </c>
      <c r="Q5" s="4" t="s">
        <v>48</v>
      </c>
    </row>
    <row r="6" spans="2:21" x14ac:dyDescent="0.2">
      <c r="B6" s="4" t="s">
        <v>16</v>
      </c>
      <c r="C6">
        <v>2.5</v>
      </c>
      <c r="D6">
        <v>2.4</v>
      </c>
      <c r="E6">
        <v>4.2</v>
      </c>
      <c r="F6">
        <v>2.35</v>
      </c>
      <c r="G6">
        <v>2.2999999999999998</v>
      </c>
      <c r="H6">
        <v>2.2999999999999998</v>
      </c>
      <c r="I6">
        <v>2.4</v>
      </c>
      <c r="J6">
        <v>2.2999999999999998</v>
      </c>
      <c r="K6">
        <v>2.4500000000000002</v>
      </c>
      <c r="L6">
        <v>2.8</v>
      </c>
      <c r="M6">
        <v>2.8</v>
      </c>
      <c r="N6">
        <v>2.8</v>
      </c>
      <c r="O6">
        <v>1.7</v>
      </c>
      <c r="P6">
        <v>1.8</v>
      </c>
      <c r="Q6">
        <v>1.9</v>
      </c>
      <c r="R6">
        <v>2</v>
      </c>
      <c r="S6">
        <v>2</v>
      </c>
      <c r="T6">
        <v>2.6</v>
      </c>
    </row>
    <row r="7" spans="2:21" x14ac:dyDescent="0.2">
      <c r="B7" s="4" t="s">
        <v>15</v>
      </c>
      <c r="C7">
        <v>600</v>
      </c>
      <c r="D7">
        <v>900</v>
      </c>
      <c r="E7">
        <v>490</v>
      </c>
      <c r="F7">
        <v>490</v>
      </c>
      <c r="G7">
        <v>600</v>
      </c>
      <c r="H7">
        <v>1000</v>
      </c>
      <c r="I7">
        <v>400</v>
      </c>
      <c r="J7">
        <v>500</v>
      </c>
      <c r="K7">
        <v>700</v>
      </c>
      <c r="L7">
        <v>400</v>
      </c>
      <c r="M7">
        <v>450</v>
      </c>
      <c r="N7">
        <v>600</v>
      </c>
      <c r="O7">
        <v>2000</v>
      </c>
      <c r="P7">
        <v>2000</v>
      </c>
      <c r="Q7">
        <v>2000</v>
      </c>
      <c r="R7">
        <v>700</v>
      </c>
      <c r="S7">
        <v>1200</v>
      </c>
      <c r="T7">
        <v>760</v>
      </c>
    </row>
    <row r="9" spans="2:21" x14ac:dyDescent="0.2">
      <c r="B9" s="4" t="s">
        <v>17</v>
      </c>
      <c r="C9" s="4" t="str">
        <f>(LEFT(Entscheidungsbaum!D30,3))</f>
        <v/>
      </c>
      <c r="D9" s="4" t="str">
        <f>C9</f>
        <v/>
      </c>
      <c r="E9" s="4" t="str">
        <f t="shared" ref="E9:T9" si="6">D9</f>
        <v/>
      </c>
      <c r="F9" s="4" t="str">
        <f t="shared" si="6"/>
        <v/>
      </c>
      <c r="G9" s="4" t="str">
        <f t="shared" si="6"/>
        <v/>
      </c>
      <c r="H9" s="4" t="str">
        <f t="shared" si="6"/>
        <v/>
      </c>
      <c r="I9" s="4" t="str">
        <f t="shared" si="6"/>
        <v/>
      </c>
      <c r="J9" s="4" t="str">
        <f t="shared" si="6"/>
        <v/>
      </c>
      <c r="K9" s="4" t="str">
        <f t="shared" si="6"/>
        <v/>
      </c>
      <c r="L9" s="4" t="str">
        <f t="shared" si="6"/>
        <v/>
      </c>
      <c r="M9" s="4" t="str">
        <f t="shared" si="6"/>
        <v/>
      </c>
      <c r="N9" s="4" t="str">
        <f t="shared" si="6"/>
        <v/>
      </c>
      <c r="O9" s="4" t="str">
        <f t="shared" si="6"/>
        <v/>
      </c>
      <c r="P9" s="4" t="str">
        <f t="shared" si="6"/>
        <v/>
      </c>
      <c r="Q9" s="4" t="str">
        <f t="shared" si="6"/>
        <v/>
      </c>
      <c r="R9" s="4" t="str">
        <f t="shared" si="6"/>
        <v/>
      </c>
      <c r="S9" s="4" t="str">
        <f t="shared" si="6"/>
        <v/>
      </c>
      <c r="T9" s="4" t="str">
        <f t="shared" si="6"/>
        <v/>
      </c>
    </row>
    <row r="10" spans="2:21" x14ac:dyDescent="0.2">
      <c r="B10" s="4" t="s">
        <v>18</v>
      </c>
      <c r="C10" s="3" t="e">
        <f>+(((C9/1000)/(C6/C7))^(1/(C6-1))*C7)</f>
        <v>#VALUE!</v>
      </c>
      <c r="D10" s="3" t="e">
        <f>+(((D9/1000)/(D6/D7))^(1/(D6-1))*D7)</f>
        <v>#VALUE!</v>
      </c>
      <c r="E10" s="3" t="e">
        <f t="shared" ref="E10:T10" si="7">+(((E9/1000)/(E6/E7))^(1/(E6-1))*E7)</f>
        <v>#VALUE!</v>
      </c>
      <c r="F10" s="3" t="e">
        <f t="shared" si="7"/>
        <v>#VALUE!</v>
      </c>
      <c r="G10" s="3" t="e">
        <f t="shared" si="7"/>
        <v>#VALUE!</v>
      </c>
      <c r="H10" s="3" t="e">
        <f t="shared" si="7"/>
        <v>#VALUE!</v>
      </c>
      <c r="I10" s="3" t="e">
        <f t="shared" si="7"/>
        <v>#VALUE!</v>
      </c>
      <c r="J10" s="3" t="e">
        <f t="shared" si="7"/>
        <v>#VALUE!</v>
      </c>
      <c r="K10" s="3" t="e">
        <f t="shared" si="7"/>
        <v>#VALUE!</v>
      </c>
      <c r="L10" s="3" t="e">
        <f t="shared" si="7"/>
        <v>#VALUE!</v>
      </c>
      <c r="M10" s="3" t="e">
        <f t="shared" si="7"/>
        <v>#VALUE!</v>
      </c>
      <c r="N10" s="3" t="e">
        <f t="shared" si="7"/>
        <v>#VALUE!</v>
      </c>
      <c r="O10" s="3" t="e">
        <f t="shared" si="7"/>
        <v>#VALUE!</v>
      </c>
      <c r="P10" s="3" t="e">
        <f t="shared" si="7"/>
        <v>#VALUE!</v>
      </c>
      <c r="Q10" s="3" t="e">
        <f t="shared" si="7"/>
        <v>#VALUE!</v>
      </c>
      <c r="R10" s="3" t="e">
        <f t="shared" si="7"/>
        <v>#VALUE!</v>
      </c>
      <c r="S10" s="3" t="e">
        <f t="shared" si="7"/>
        <v>#VALUE!</v>
      </c>
      <c r="T10" s="3" t="e">
        <f t="shared" si="7"/>
        <v>#VALUE!</v>
      </c>
      <c r="U10" s="3"/>
    </row>
    <row r="11" spans="2:21" x14ac:dyDescent="0.2">
      <c r="D11" s="3"/>
      <c r="E11" s="3"/>
      <c r="F11" s="3"/>
      <c r="G11" s="3"/>
      <c r="H11" s="3"/>
      <c r="I11" s="3"/>
      <c r="J11" s="3"/>
    </row>
    <row r="12" spans="2:21" x14ac:dyDescent="0.2">
      <c r="D12" s="3"/>
      <c r="E12" s="3"/>
      <c r="F12" s="3"/>
      <c r="G12" s="3"/>
      <c r="H12" s="3"/>
      <c r="I12" s="3"/>
      <c r="J12" s="3"/>
    </row>
    <row r="13" spans="2:21" x14ac:dyDescent="0.2">
      <c r="D13" s="3"/>
      <c r="E13" s="3"/>
      <c r="F13" s="3"/>
      <c r="G13" s="3"/>
      <c r="H13" s="3"/>
      <c r="I13" s="3"/>
      <c r="J13" s="3"/>
    </row>
    <row r="14" spans="2:21" x14ac:dyDescent="0.2">
      <c r="D14" s="3" t="s">
        <v>20</v>
      </c>
      <c r="E14" s="3"/>
      <c r="F14" s="3"/>
      <c r="G14" s="3"/>
      <c r="H14" s="3"/>
      <c r="I14" s="3"/>
      <c r="J14" s="3"/>
    </row>
    <row r="15" spans="2:21" x14ac:dyDescent="0.2">
      <c r="D15" s="3"/>
      <c r="E15" s="3"/>
      <c r="F15" s="3"/>
      <c r="G15" s="3"/>
      <c r="H15" s="3"/>
      <c r="I15" s="3"/>
      <c r="J15" s="3"/>
    </row>
    <row r="23" spans="2:20" x14ac:dyDescent="0.2">
      <c r="B23" s="4" t="s">
        <v>57</v>
      </c>
      <c r="C23" s="4" t="s">
        <v>58</v>
      </c>
      <c r="D23" s="4" t="s">
        <v>59</v>
      </c>
      <c r="E23" s="4" t="s">
        <v>60</v>
      </c>
      <c r="F23" s="4" t="s">
        <v>61</v>
      </c>
    </row>
    <row r="24" spans="2:20" x14ac:dyDescent="0.2">
      <c r="B24" s="4" t="s">
        <v>52</v>
      </c>
      <c r="C24" t="s">
        <v>53</v>
      </c>
      <c r="D24" t="s">
        <v>54</v>
      </c>
      <c r="E24" t="s">
        <v>55</v>
      </c>
      <c r="F24" t="s">
        <v>56</v>
      </c>
      <c r="G24" t="s">
        <v>19</v>
      </c>
      <c r="H24"/>
      <c r="I24"/>
      <c r="J24"/>
      <c r="K24"/>
      <c r="L24"/>
      <c r="M24"/>
      <c r="N24"/>
      <c r="O24"/>
      <c r="P24"/>
      <c r="Q24"/>
      <c r="R24"/>
      <c r="S24"/>
      <c r="T24"/>
    </row>
    <row r="25" spans="2:20" x14ac:dyDescent="0.2">
      <c r="B25" s="4" t="s">
        <v>7</v>
      </c>
      <c r="C25" t="s">
        <v>8</v>
      </c>
      <c r="D25" t="s">
        <v>9</v>
      </c>
      <c r="E25" t="s">
        <v>9</v>
      </c>
      <c r="F25" s="4" t="s">
        <v>10</v>
      </c>
      <c r="G25" s="4" t="s">
        <v>49</v>
      </c>
      <c r="H25"/>
      <c r="I25"/>
      <c r="J25"/>
      <c r="K25"/>
      <c r="L25"/>
      <c r="M25"/>
      <c r="N25"/>
      <c r="O25"/>
      <c r="P25"/>
      <c r="Q25"/>
      <c r="R25"/>
      <c r="S25"/>
      <c r="T25"/>
    </row>
    <row r="26" spans="2:20" x14ac:dyDescent="0.2">
      <c r="B26" s="4" t="s">
        <v>50</v>
      </c>
      <c r="C26" s="4" t="s">
        <v>50</v>
      </c>
      <c r="D26" s="4" t="s">
        <v>50</v>
      </c>
      <c r="E26" s="4" t="s">
        <v>50</v>
      </c>
      <c r="F26" s="4" t="s">
        <v>50</v>
      </c>
      <c r="G26" s="4" t="s">
        <v>50</v>
      </c>
    </row>
    <row r="27" spans="2:20" x14ac:dyDescent="0.2">
      <c r="B27" s="4" t="s">
        <v>51</v>
      </c>
      <c r="C27" s="4" t="s">
        <v>51</v>
      </c>
      <c r="D27" s="4" t="s">
        <v>51</v>
      </c>
      <c r="E27" s="4" t="s">
        <v>51</v>
      </c>
      <c r="F27" s="4" t="s">
        <v>51</v>
      </c>
      <c r="G27" s="4" t="s">
        <v>51</v>
      </c>
    </row>
    <row r="28" spans="2:20" x14ac:dyDescent="0.2">
      <c r="E28" s="4" t="s">
        <v>11</v>
      </c>
      <c r="F28" s="4" t="s">
        <v>11</v>
      </c>
      <c r="G28" s="4" t="s">
        <v>11</v>
      </c>
    </row>
    <row r="31" spans="2:20" x14ac:dyDescent="0.2">
      <c r="B31" s="4" t="s">
        <v>44</v>
      </c>
    </row>
    <row r="32" spans="2:20" x14ac:dyDescent="0.2">
      <c r="B32" s="4" t="s">
        <v>63</v>
      </c>
    </row>
    <row r="33" spans="2:2" x14ac:dyDescent="0.2">
      <c r="B33" s="4" t="s">
        <v>64</v>
      </c>
    </row>
    <row r="34" spans="2:2" x14ac:dyDescent="0.2">
      <c r="B34" s="4" t="s">
        <v>65</v>
      </c>
    </row>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13</vt:i4>
      </vt:variant>
    </vt:vector>
  </HeadingPairs>
  <TitlesOfParts>
    <vt:vector size="21" baseType="lpstr">
      <vt:lpstr>Entscheidungsbaum</vt:lpstr>
      <vt:lpstr>Texte</vt:lpstr>
      <vt:lpstr>Bild</vt:lpstr>
      <vt:lpstr>Schäden durch Baumassnahme</vt:lpstr>
      <vt:lpstr>Restwert</vt:lpstr>
      <vt:lpstr>Synergiegewinn</vt:lpstr>
      <vt:lpstr>Auswirkungen</vt:lpstr>
      <vt:lpstr>Weibul</vt:lpstr>
      <vt:lpstr>Durchmesser</vt:lpstr>
      <vt:lpstr>DurchPE</vt:lpstr>
      <vt:lpstr>JaNein</vt:lpstr>
      <vt:lpstr>Mat</vt:lpstr>
      <vt:lpstr>MatA</vt:lpstr>
      <vt:lpstr>MatB</vt:lpstr>
      <vt:lpstr>MatC</vt:lpstr>
      <vt:lpstr>MatD</vt:lpstr>
      <vt:lpstr>MatE</vt:lpstr>
      <vt:lpstr>n</vt:lpstr>
      <vt:lpstr>Restwertbestimmung</vt:lpstr>
      <vt:lpstr>Schadensrate</vt:lpstr>
      <vt:lpstr>Synergiegewinn</vt:lpstr>
    </vt:vector>
  </TitlesOfParts>
  <Company>8048 Zürich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Dorothea Zuleger</dc:creator>
  <cp:lastModifiedBy>Biner Markus</cp:lastModifiedBy>
  <cp:lastPrinted>2018-09-20T11:37:23Z</cp:lastPrinted>
  <dcterms:created xsi:type="dcterms:W3CDTF">2018-04-04T14:27:11Z</dcterms:created>
  <dcterms:modified xsi:type="dcterms:W3CDTF">2023-03-20T12:29:58Z</dcterms:modified>
</cp:coreProperties>
</file>